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Utah\Rate Study\2024\HCBS\Report\final\"/>
    </mc:Choice>
  </mc:AlternateContent>
  <xr:revisionPtr revIDLastSave="0" documentId="13_ncr:1_{AAB5EA1B-E3C9-45AE-B594-60EFF2A3CA48}" xr6:coauthVersionLast="47" xr6:coauthVersionMax="47" xr10:uidLastSave="{00000000-0000-0000-0000-000000000000}"/>
  <bookViews>
    <workbookView xWindow="28680" yWindow="-120" windowWidth="29040" windowHeight="15720" xr2:uid="{0AD8BC45-82E2-4EE3-B513-A63D7035AAA1}"/>
  </bookViews>
  <sheets>
    <sheet name="Cover" sheetId="1" r:id="rId1"/>
    <sheet name="A-1 HCBS Summary" sheetId="4" r:id="rId2"/>
    <sheet name="A-2 Identify Outlier-Exclusion" sheetId="9" r:id="rId3"/>
    <sheet name="A-3 Hourly Cost Calculation" sheetId="14" r:id="rId4"/>
    <sheet name="A-4a 15min Unit Cost Calc" sheetId="10" r:id="rId5"/>
    <sheet name="A-4b Visit Unit Cost Calc" sheetId="16" r:id="rId6"/>
    <sheet name="A-4c Trip Unit Cost Calc" sheetId="17" r:id="rId7"/>
    <sheet name="A-4d Meal Unit Cost Calc" sheetId="18" r:id="rId8"/>
    <sheet name="A-4e Per Month Cost Calc" sheetId="20" r:id="rId9"/>
    <sheet name="A-4f Per Diem Unit Cost Calc" sheetId="19" r:id="rId10"/>
    <sheet name="A-5 Border States" sheetId="6" r:id="rId11"/>
    <sheet name="A-3 CMS Market Basket Index " sheetId="12" r:id="rId12"/>
  </sheets>
  <externalReferences>
    <externalReference r:id="rId13"/>
    <externalReference r:id="rId14"/>
  </externalReferences>
  <definedNames>
    <definedName name="_xlnm._FilterDatabase" localSheetId="1" hidden="1">'A-1 HCBS Summary'!$B$7:$J$7</definedName>
    <definedName name="_xlnm._FilterDatabase" localSheetId="2" hidden="1">'A-2 Identify Outlier-Exclusion'!$A$6:$S$126</definedName>
    <definedName name="_xlnm._FilterDatabase" localSheetId="3" hidden="1">'A-3 Hourly Cost Calculation'!$A$6:$R$125</definedName>
    <definedName name="_xlnm._FilterDatabase" localSheetId="4" hidden="1">'A-4a 15min Unit Cost Calc'!$A$9:$I$123</definedName>
    <definedName name="_xlnm._FilterDatabase" localSheetId="5" hidden="1">'A-4b Visit Unit Cost Calc'!$B$9:$J$42</definedName>
    <definedName name="_xlnm._FilterDatabase" localSheetId="6" hidden="1">'A-4c Trip Unit Cost Calc'!$B$9:$J$12</definedName>
    <definedName name="_xlnm._FilterDatabase" localSheetId="7" hidden="1">'A-4d Meal Unit Cost Calc'!$B$9:$J$11</definedName>
    <definedName name="_xlnm._FilterDatabase" localSheetId="9" hidden="1">'A-4f Per Diem Unit Cost Calc'!$B$9:$L$82</definedName>
    <definedName name="_xlnm._FilterDatabase" localSheetId="10" hidden="1">'A-5 Border States'!$A$7:$O$46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4" l="1"/>
  <c r="G45" i="4"/>
  <c r="G44" i="4"/>
  <c r="G43" i="4"/>
  <c r="A3" i="20"/>
  <c r="A2" i="20"/>
  <c r="A1" i="20"/>
  <c r="A3" i="6" l="1"/>
  <c r="A3" i="19"/>
  <c r="A3" i="18"/>
  <c r="A3" i="17"/>
  <c r="A3" i="16"/>
  <c r="A3" i="10"/>
  <c r="A3" i="14"/>
  <c r="A3" i="9"/>
  <c r="A3" i="4"/>
  <c r="I59" i="19"/>
  <c r="J59" i="19" s="1"/>
  <c r="L59" i="19" s="1"/>
  <c r="A2" i="19"/>
  <c r="A1" i="19"/>
  <c r="A2" i="18"/>
  <c r="A1" i="18"/>
  <c r="A2" i="17"/>
  <c r="A1" i="17"/>
  <c r="A2" i="16"/>
  <c r="A1" i="16"/>
  <c r="A2" i="10" l="1"/>
  <c r="A1" i="10"/>
  <c r="J8" i="4" l="1"/>
  <c r="D8" i="6"/>
  <c r="I8" i="4" s="1"/>
  <c r="O156" i="9" l="1"/>
  <c r="N156" i="9"/>
  <c r="L156" i="9"/>
  <c r="K156" i="9"/>
  <c r="J156" i="9"/>
  <c r="I156" i="9"/>
  <c r="G156" i="9"/>
  <c r="F156" i="9"/>
  <c r="D156" i="9"/>
  <c r="C156" i="9"/>
  <c r="I13" i="19"/>
  <c r="J13" i="19" s="1"/>
  <c r="L13" i="19" s="1"/>
  <c r="I82" i="19"/>
  <c r="J82" i="19" s="1"/>
  <c r="H156" i="9" l="1"/>
  <c r="E156" i="9"/>
  <c r="M156" i="9"/>
  <c r="P156" i="9"/>
  <c r="L82" i="19"/>
  <c r="Q156" i="9" l="1"/>
  <c r="I81" i="19" l="1"/>
  <c r="J81" i="19" s="1"/>
  <c r="O13" i="19" s="1"/>
  <c r="I32" i="19"/>
  <c r="J32" i="19" s="1"/>
  <c r="I33" i="19"/>
  <c r="J33" i="19" s="1"/>
  <c r="L33" i="19" s="1"/>
  <c r="I34" i="19"/>
  <c r="J34" i="19" s="1"/>
  <c r="L34" i="19" s="1"/>
  <c r="I35" i="19"/>
  <c r="J35" i="19" s="1"/>
  <c r="L35" i="19" s="1"/>
  <c r="I36" i="19"/>
  <c r="J36" i="19" s="1"/>
  <c r="L36" i="19" s="1"/>
  <c r="I37" i="19"/>
  <c r="J37" i="19" s="1"/>
  <c r="L37" i="19" s="1"/>
  <c r="I38" i="19"/>
  <c r="J38" i="19" s="1"/>
  <c r="L38" i="19" s="1"/>
  <c r="I39" i="19"/>
  <c r="J39" i="19" s="1"/>
  <c r="L39" i="19" s="1"/>
  <c r="I40" i="19"/>
  <c r="J40" i="19" s="1"/>
  <c r="L40" i="19" s="1"/>
  <c r="I41" i="19"/>
  <c r="J41" i="19" s="1"/>
  <c r="L41" i="19" s="1"/>
  <c r="I42" i="19"/>
  <c r="J42" i="19" s="1"/>
  <c r="L42" i="19" s="1"/>
  <c r="I43" i="19"/>
  <c r="J43" i="19" s="1"/>
  <c r="L43" i="19" s="1"/>
  <c r="I44" i="19"/>
  <c r="J44" i="19" s="1"/>
  <c r="L44" i="19" s="1"/>
  <c r="I45" i="19"/>
  <c r="J45" i="19" s="1"/>
  <c r="L45" i="19" s="1"/>
  <c r="I46" i="19"/>
  <c r="J46" i="19" s="1"/>
  <c r="L46" i="19" s="1"/>
  <c r="I47" i="19"/>
  <c r="J47" i="19" s="1"/>
  <c r="L47" i="19" s="1"/>
  <c r="I48" i="19"/>
  <c r="J48" i="19" s="1"/>
  <c r="L48" i="19" s="1"/>
  <c r="I49" i="19"/>
  <c r="J49" i="19" s="1"/>
  <c r="L49" i="19" s="1"/>
  <c r="I50" i="19"/>
  <c r="J50" i="19" s="1"/>
  <c r="L50" i="19" s="1"/>
  <c r="I51" i="19"/>
  <c r="J51" i="19" s="1"/>
  <c r="L51" i="19" s="1"/>
  <c r="I52" i="19"/>
  <c r="J52" i="19" s="1"/>
  <c r="L52" i="19" s="1"/>
  <c r="I53" i="19"/>
  <c r="J53" i="19" s="1"/>
  <c r="L53" i="19" s="1"/>
  <c r="I54" i="19"/>
  <c r="J54" i="19" s="1"/>
  <c r="L54" i="19" s="1"/>
  <c r="I55" i="19"/>
  <c r="J55" i="19" s="1"/>
  <c r="L55" i="19" s="1"/>
  <c r="I56" i="19"/>
  <c r="J56" i="19" s="1"/>
  <c r="L56" i="19" s="1"/>
  <c r="I57" i="19"/>
  <c r="J57" i="19" s="1"/>
  <c r="L57" i="19" s="1"/>
  <c r="I58" i="19"/>
  <c r="J58" i="19" s="1"/>
  <c r="L58" i="19" s="1"/>
  <c r="I15" i="19"/>
  <c r="J15" i="19" s="1"/>
  <c r="O11" i="19" s="1"/>
  <c r="I16" i="19"/>
  <c r="J16" i="19" s="1"/>
  <c r="L16" i="19" s="1"/>
  <c r="I17" i="19"/>
  <c r="J17" i="19" s="1"/>
  <c r="L17" i="19" s="1"/>
  <c r="I11" i="19"/>
  <c r="J11" i="19" s="1"/>
  <c r="L11" i="19" s="1"/>
  <c r="I12" i="19"/>
  <c r="J12" i="19" s="1"/>
  <c r="L12" i="19" s="1"/>
  <c r="I10" i="19"/>
  <c r="J10" i="19" s="1"/>
  <c r="A32" i="18"/>
  <c r="A34" i="18" s="1"/>
  <c r="H11" i="18" s="1"/>
  <c r="C21" i="18"/>
  <c r="D21" i="18" s="1"/>
  <c r="F21" i="18" s="1"/>
  <c r="H21" i="18" s="1"/>
  <c r="H22" i="18" s="1"/>
  <c r="H10" i="18" s="1"/>
  <c r="C20" i="18"/>
  <c r="D20" i="18" s="1"/>
  <c r="F20" i="18" s="1"/>
  <c r="H20" i="18" s="1"/>
  <c r="P88" i="14"/>
  <c r="N88" i="14"/>
  <c r="O88" i="14"/>
  <c r="L87" i="14"/>
  <c r="I88" i="14"/>
  <c r="J88" i="14"/>
  <c r="K88" i="14"/>
  <c r="L88" i="14"/>
  <c r="F88" i="14"/>
  <c r="G88" i="14"/>
  <c r="H88" i="14"/>
  <c r="D87" i="14"/>
  <c r="D124" i="14"/>
  <c r="C124" i="14"/>
  <c r="D123" i="14"/>
  <c r="C123" i="14"/>
  <c r="D122" i="14"/>
  <c r="C122" i="14"/>
  <c r="D121" i="14"/>
  <c r="C121" i="14"/>
  <c r="D120" i="14"/>
  <c r="D119" i="14"/>
  <c r="C119" i="14"/>
  <c r="D118" i="14"/>
  <c r="C118" i="14"/>
  <c r="D117" i="14"/>
  <c r="C117" i="14"/>
  <c r="D116" i="14"/>
  <c r="C116" i="14"/>
  <c r="D115" i="14"/>
  <c r="C115" i="14"/>
  <c r="D114" i="14"/>
  <c r="C114" i="14"/>
  <c r="D113" i="14"/>
  <c r="C113" i="14"/>
  <c r="D112" i="14"/>
  <c r="C112" i="14"/>
  <c r="D111" i="14"/>
  <c r="C111" i="14"/>
  <c r="D110" i="14"/>
  <c r="C110" i="14"/>
  <c r="D109" i="14"/>
  <c r="C109" i="14"/>
  <c r="D108" i="14"/>
  <c r="C108" i="14"/>
  <c r="D107" i="14"/>
  <c r="C107" i="14"/>
  <c r="D106" i="14"/>
  <c r="C106" i="14"/>
  <c r="D105" i="14"/>
  <c r="C105" i="14"/>
  <c r="D104" i="14"/>
  <c r="C104" i="14"/>
  <c r="D103" i="14"/>
  <c r="C103" i="14"/>
  <c r="D102" i="14"/>
  <c r="C102" i="14"/>
  <c r="D101" i="14"/>
  <c r="C101" i="14"/>
  <c r="D100" i="14"/>
  <c r="C100" i="14"/>
  <c r="D99" i="14"/>
  <c r="C99" i="14"/>
  <c r="D98" i="14"/>
  <c r="C98" i="14"/>
  <c r="D97" i="14"/>
  <c r="C97" i="14"/>
  <c r="D96" i="14"/>
  <c r="C96" i="14"/>
  <c r="D95" i="14"/>
  <c r="C95" i="14"/>
  <c r="D94" i="14"/>
  <c r="C94" i="14"/>
  <c r="D93" i="14"/>
  <c r="C93" i="14"/>
  <c r="D92" i="14"/>
  <c r="C92" i="14"/>
  <c r="D91" i="14"/>
  <c r="C91" i="14"/>
  <c r="D90" i="14"/>
  <c r="C90" i="14"/>
  <c r="D89" i="14"/>
  <c r="C89" i="14"/>
  <c r="A2" i="14"/>
  <c r="A1" i="14"/>
  <c r="C142" i="9"/>
  <c r="D142" i="9"/>
  <c r="F142" i="9"/>
  <c r="I142" i="9"/>
  <c r="J142" i="9"/>
  <c r="K142" i="9"/>
  <c r="L142" i="9"/>
  <c r="N142" i="9"/>
  <c r="O142" i="9"/>
  <c r="C143" i="9"/>
  <c r="D143" i="9"/>
  <c r="F143" i="9"/>
  <c r="G143" i="9"/>
  <c r="I143" i="9"/>
  <c r="J143" i="9"/>
  <c r="K143" i="9"/>
  <c r="L143" i="9"/>
  <c r="N143" i="9"/>
  <c r="O143" i="9"/>
  <c r="C144" i="9"/>
  <c r="D144" i="9"/>
  <c r="F144" i="9"/>
  <c r="G144" i="9"/>
  <c r="I144" i="9"/>
  <c r="J144" i="9"/>
  <c r="K144" i="9"/>
  <c r="L144" i="9"/>
  <c r="N144" i="9"/>
  <c r="O144" i="9"/>
  <c r="C145" i="9"/>
  <c r="D145" i="9"/>
  <c r="F145" i="9"/>
  <c r="G145" i="9"/>
  <c r="I145" i="9"/>
  <c r="J145" i="9"/>
  <c r="K145" i="9"/>
  <c r="L145" i="9"/>
  <c r="N145" i="9"/>
  <c r="O145" i="9"/>
  <c r="C146" i="9"/>
  <c r="D146" i="9"/>
  <c r="F146" i="9"/>
  <c r="G146" i="9"/>
  <c r="I146" i="9"/>
  <c r="J146" i="9"/>
  <c r="K146" i="9"/>
  <c r="L146" i="9"/>
  <c r="N146" i="9"/>
  <c r="O146" i="9"/>
  <c r="C147" i="9"/>
  <c r="D147" i="9"/>
  <c r="F147" i="9"/>
  <c r="G147" i="9"/>
  <c r="I147" i="9"/>
  <c r="J147" i="9"/>
  <c r="K147" i="9"/>
  <c r="L147" i="9"/>
  <c r="N147" i="9"/>
  <c r="O147" i="9"/>
  <c r="C148" i="9"/>
  <c r="D148" i="9"/>
  <c r="F148" i="9"/>
  <c r="G148" i="9"/>
  <c r="I148" i="9"/>
  <c r="J148" i="9"/>
  <c r="K148" i="9"/>
  <c r="L148" i="9"/>
  <c r="N148" i="9"/>
  <c r="O148" i="9"/>
  <c r="C149" i="9"/>
  <c r="D149" i="9"/>
  <c r="F149" i="9"/>
  <c r="G149" i="9"/>
  <c r="I149" i="9"/>
  <c r="J149" i="9"/>
  <c r="K149" i="9"/>
  <c r="L149" i="9"/>
  <c r="N149" i="9"/>
  <c r="O149" i="9"/>
  <c r="C150" i="9"/>
  <c r="D150" i="9"/>
  <c r="F150" i="9"/>
  <c r="G150" i="9"/>
  <c r="I150" i="9"/>
  <c r="J150" i="9"/>
  <c r="K150" i="9"/>
  <c r="L150" i="9"/>
  <c r="N150" i="9"/>
  <c r="O150" i="9"/>
  <c r="C151" i="9"/>
  <c r="D151" i="9"/>
  <c r="F151" i="9"/>
  <c r="G151" i="9"/>
  <c r="I151" i="9"/>
  <c r="J151" i="9"/>
  <c r="K151" i="9"/>
  <c r="L151" i="9"/>
  <c r="N151" i="9"/>
  <c r="O151" i="9"/>
  <c r="C152" i="9"/>
  <c r="D152" i="9"/>
  <c r="F152" i="9"/>
  <c r="G152" i="9"/>
  <c r="I152" i="9"/>
  <c r="J152" i="9"/>
  <c r="K152" i="9"/>
  <c r="L152" i="9"/>
  <c r="N152" i="9"/>
  <c r="O152" i="9"/>
  <c r="C153" i="9"/>
  <c r="D153" i="9"/>
  <c r="F153" i="9"/>
  <c r="G153" i="9"/>
  <c r="I153" i="9"/>
  <c r="J153" i="9"/>
  <c r="K153" i="9"/>
  <c r="L153" i="9"/>
  <c r="N153" i="9"/>
  <c r="O153" i="9"/>
  <c r="C154" i="9"/>
  <c r="D154" i="9"/>
  <c r="F154" i="9"/>
  <c r="G154" i="9"/>
  <c r="I154" i="9"/>
  <c r="J154" i="9"/>
  <c r="K154" i="9"/>
  <c r="L154" i="9"/>
  <c r="N154" i="9"/>
  <c r="O154" i="9"/>
  <c r="C155" i="9"/>
  <c r="D155" i="9"/>
  <c r="F155" i="9"/>
  <c r="G155" i="9"/>
  <c r="I155" i="9"/>
  <c r="J155" i="9"/>
  <c r="K155" i="9"/>
  <c r="L155" i="9"/>
  <c r="N155" i="9"/>
  <c r="O155" i="9"/>
  <c r="O141" i="9"/>
  <c r="N141" i="9"/>
  <c r="L141" i="9"/>
  <c r="K141" i="9"/>
  <c r="J141" i="9"/>
  <c r="I141" i="9"/>
  <c r="G141" i="9"/>
  <c r="F141" i="9"/>
  <c r="D141" i="9"/>
  <c r="C141" i="9"/>
  <c r="A2" i="9"/>
  <c r="A1" i="9"/>
  <c r="O12" i="19" l="1"/>
  <c r="G11" i="4"/>
  <c r="O10" i="19"/>
  <c r="G25" i="4"/>
  <c r="G24" i="4"/>
  <c r="J10" i="18"/>
  <c r="E149" i="9"/>
  <c r="E153" i="9"/>
  <c r="E121" i="14"/>
  <c r="H145" i="9"/>
  <c r="E144" i="9"/>
  <c r="E155" i="9"/>
  <c r="P155" i="9"/>
  <c r="L15" i="19"/>
  <c r="G39" i="4"/>
  <c r="L32" i="19"/>
  <c r="G41" i="4"/>
  <c r="L81" i="19"/>
  <c r="G42" i="4"/>
  <c r="H155" i="9"/>
  <c r="E113" i="14"/>
  <c r="E148" i="9"/>
  <c r="P154" i="9"/>
  <c r="E109" i="14"/>
  <c r="E152" i="9"/>
  <c r="L10" i="19"/>
  <c r="P148" i="9"/>
  <c r="P142" i="9"/>
  <c r="H152" i="9"/>
  <c r="M142" i="9"/>
  <c r="M145" i="9"/>
  <c r="M148" i="9"/>
  <c r="P151" i="9"/>
  <c r="P145" i="9"/>
  <c r="E92" i="14"/>
  <c r="E98" i="14"/>
  <c r="E104" i="14"/>
  <c r="E110" i="14"/>
  <c r="E116" i="14"/>
  <c r="E93" i="14"/>
  <c r="E99" i="14"/>
  <c r="E105" i="14"/>
  <c r="E117" i="14"/>
  <c r="E94" i="14"/>
  <c r="E100" i="14"/>
  <c r="E106" i="14"/>
  <c r="E118" i="14"/>
  <c r="E108" i="14"/>
  <c r="E90" i="14"/>
  <c r="E96" i="14"/>
  <c r="E102" i="14"/>
  <c r="E115" i="14"/>
  <c r="E89" i="14"/>
  <c r="E95" i="14"/>
  <c r="E101" i="14"/>
  <c r="E107" i="14"/>
  <c r="E114" i="14"/>
  <c r="E124" i="14"/>
  <c r="E112" i="14"/>
  <c r="E123" i="14"/>
  <c r="E111" i="14"/>
  <c r="E120" i="14"/>
  <c r="E122" i="14"/>
  <c r="E91" i="14"/>
  <c r="E97" i="14"/>
  <c r="E103" i="14"/>
  <c r="E119" i="14"/>
  <c r="H144" i="9"/>
  <c r="E141" i="9"/>
  <c r="P149" i="9"/>
  <c r="P141" i="9"/>
  <c r="H150" i="9"/>
  <c r="H143" i="9"/>
  <c r="M154" i="9"/>
  <c r="E142" i="9"/>
  <c r="H151" i="9"/>
  <c r="H141" i="9"/>
  <c r="M155" i="9"/>
  <c r="H153" i="9"/>
  <c r="M147" i="9"/>
  <c r="M150" i="9"/>
  <c r="H147" i="9"/>
  <c r="M146" i="9"/>
  <c r="P144" i="9"/>
  <c r="P152" i="9"/>
  <c r="H148" i="9"/>
  <c r="P153" i="9"/>
  <c r="M144" i="9"/>
  <c r="M143" i="9"/>
  <c r="M152" i="9"/>
  <c r="M151" i="9"/>
  <c r="H149" i="9"/>
  <c r="H146" i="9"/>
  <c r="E145" i="9"/>
  <c r="H154" i="9"/>
  <c r="E143" i="9"/>
  <c r="M141" i="9"/>
  <c r="E150" i="9"/>
  <c r="M149" i="9"/>
  <c r="E147" i="9"/>
  <c r="E154" i="9"/>
  <c r="M153" i="9"/>
  <c r="E151" i="9"/>
  <c r="P146" i="9"/>
  <c r="P143" i="9"/>
  <c r="E146" i="9"/>
  <c r="P150" i="9"/>
  <c r="P147" i="9"/>
  <c r="Q155" i="9" l="1"/>
  <c r="Q145" i="9"/>
  <c r="Q149" i="9"/>
  <c r="Q154" i="9"/>
  <c r="Q153" i="9"/>
  <c r="Q141" i="9"/>
  <c r="Q148" i="9"/>
  <c r="Q152" i="9"/>
  <c r="Q144" i="9"/>
  <c r="Q151" i="9"/>
  <c r="Q147" i="9"/>
  <c r="Q143" i="9"/>
  <c r="Q146" i="9"/>
  <c r="Q150" i="9"/>
  <c r="O8" i="9" l="1"/>
  <c r="O8" i="14" s="1"/>
  <c r="O9" i="9"/>
  <c r="O9" i="14" s="1"/>
  <c r="O10" i="9"/>
  <c r="O10" i="14" s="1"/>
  <c r="O11" i="9"/>
  <c r="O11" i="14" s="1"/>
  <c r="O12" i="9"/>
  <c r="O12" i="14" s="1"/>
  <c r="O13" i="9"/>
  <c r="O13" i="14" s="1"/>
  <c r="O14" i="9"/>
  <c r="O14" i="14" s="1"/>
  <c r="O15" i="9"/>
  <c r="O15" i="14" s="1"/>
  <c r="O16" i="9"/>
  <c r="O16" i="14" s="1"/>
  <c r="O17" i="9"/>
  <c r="O17" i="14" s="1"/>
  <c r="O18" i="9"/>
  <c r="O18" i="14" s="1"/>
  <c r="O19" i="9"/>
  <c r="O19" i="14" s="1"/>
  <c r="O20" i="9"/>
  <c r="O20" i="14" s="1"/>
  <c r="O21" i="9"/>
  <c r="O21" i="14" s="1"/>
  <c r="O22" i="9"/>
  <c r="O22" i="14" s="1"/>
  <c r="O23" i="9"/>
  <c r="O23" i="14" s="1"/>
  <c r="O24" i="9"/>
  <c r="O24" i="14" s="1"/>
  <c r="O25" i="9"/>
  <c r="O25" i="14" s="1"/>
  <c r="O26" i="9"/>
  <c r="O26" i="14" s="1"/>
  <c r="O27" i="9"/>
  <c r="O27" i="14" s="1"/>
  <c r="O28" i="9"/>
  <c r="O28" i="14" s="1"/>
  <c r="O29" i="9"/>
  <c r="O29" i="14" s="1"/>
  <c r="O30" i="9"/>
  <c r="O30" i="14" s="1"/>
  <c r="O31" i="9"/>
  <c r="O31" i="14" s="1"/>
  <c r="O32" i="9"/>
  <c r="O32" i="14" s="1"/>
  <c r="O33" i="9"/>
  <c r="O33" i="14" s="1"/>
  <c r="O34" i="9"/>
  <c r="O34" i="14" s="1"/>
  <c r="O35" i="9"/>
  <c r="O35" i="14" s="1"/>
  <c r="O36" i="9"/>
  <c r="O36" i="14" s="1"/>
  <c r="O37" i="9"/>
  <c r="O37" i="14" s="1"/>
  <c r="O39" i="9"/>
  <c r="O39" i="14" s="1"/>
  <c r="O40" i="9"/>
  <c r="O40" i="14" s="1"/>
  <c r="O41" i="9"/>
  <c r="O41" i="14" s="1"/>
  <c r="O42" i="9"/>
  <c r="O42" i="14" s="1"/>
  <c r="O43" i="9"/>
  <c r="O43" i="14" s="1"/>
  <c r="O44" i="9"/>
  <c r="O44" i="14" s="1"/>
  <c r="O45" i="9"/>
  <c r="O45" i="14" s="1"/>
  <c r="O46" i="9"/>
  <c r="O46" i="14" s="1"/>
  <c r="O47" i="9"/>
  <c r="O47" i="14" s="1"/>
  <c r="O48" i="9"/>
  <c r="O48" i="14" s="1"/>
  <c r="O49" i="9"/>
  <c r="O49" i="14" s="1"/>
  <c r="O50" i="9"/>
  <c r="O50" i="14" s="1"/>
  <c r="O51" i="9"/>
  <c r="O51" i="14" s="1"/>
  <c r="O52" i="9"/>
  <c r="O52" i="14" s="1"/>
  <c r="O53" i="9"/>
  <c r="O53" i="14" s="1"/>
  <c r="O54" i="9"/>
  <c r="O54" i="14" s="1"/>
  <c r="O55" i="9"/>
  <c r="O55" i="14" s="1"/>
  <c r="O56" i="9"/>
  <c r="O56" i="14" s="1"/>
  <c r="O57" i="9"/>
  <c r="O57" i="14" s="1"/>
  <c r="O58" i="9"/>
  <c r="O58" i="14" s="1"/>
  <c r="O59" i="9"/>
  <c r="O59" i="14" s="1"/>
  <c r="O60" i="9"/>
  <c r="O60" i="14" s="1"/>
  <c r="O61" i="9"/>
  <c r="O61" i="14" s="1"/>
  <c r="O62" i="9"/>
  <c r="O62" i="14" s="1"/>
  <c r="O63" i="9"/>
  <c r="O63" i="14" s="1"/>
  <c r="O64" i="9"/>
  <c r="O64" i="14" s="1"/>
  <c r="O65" i="9"/>
  <c r="O65" i="14" s="1"/>
  <c r="O66" i="9"/>
  <c r="O66" i="14" s="1"/>
  <c r="O67" i="9"/>
  <c r="O67" i="14" s="1"/>
  <c r="O68" i="9"/>
  <c r="O68" i="14" s="1"/>
  <c r="O69" i="9"/>
  <c r="O69" i="14" s="1"/>
  <c r="O70" i="9"/>
  <c r="O70" i="14" s="1"/>
  <c r="O71" i="9"/>
  <c r="O71" i="14" s="1"/>
  <c r="O72" i="9"/>
  <c r="O72" i="14" s="1"/>
  <c r="O73" i="9"/>
  <c r="O73" i="14" s="1"/>
  <c r="O74" i="9"/>
  <c r="O74" i="14" s="1"/>
  <c r="O75" i="9"/>
  <c r="O75" i="14" s="1"/>
  <c r="O76" i="9"/>
  <c r="O76" i="14" s="1"/>
  <c r="O77" i="9"/>
  <c r="O77" i="14" s="1"/>
  <c r="O78" i="9"/>
  <c r="O78" i="14" s="1"/>
  <c r="O79" i="9"/>
  <c r="O79" i="14" s="1"/>
  <c r="O80" i="9"/>
  <c r="O80" i="14" s="1"/>
  <c r="O81" i="9"/>
  <c r="O81" i="14" s="1"/>
  <c r="O82" i="9"/>
  <c r="O82" i="14" s="1"/>
  <c r="O83" i="9"/>
  <c r="O83" i="14" s="1"/>
  <c r="O84" i="9"/>
  <c r="O84" i="14" s="1"/>
  <c r="O85" i="9"/>
  <c r="O85" i="14" s="1"/>
  <c r="O86" i="9"/>
  <c r="O86" i="14" s="1"/>
  <c r="O87" i="9"/>
  <c r="O87" i="14" s="1"/>
  <c r="O89" i="9"/>
  <c r="O89" i="14" s="1"/>
  <c r="O90" i="9"/>
  <c r="O90" i="14" s="1"/>
  <c r="O91" i="9"/>
  <c r="O91" i="14" s="1"/>
  <c r="O92" i="9"/>
  <c r="O92" i="14" s="1"/>
  <c r="O93" i="9"/>
  <c r="O93" i="14" s="1"/>
  <c r="O94" i="9"/>
  <c r="O94" i="14" s="1"/>
  <c r="O95" i="9"/>
  <c r="O95" i="14" s="1"/>
  <c r="O96" i="9"/>
  <c r="O96" i="14" s="1"/>
  <c r="O97" i="9"/>
  <c r="O97" i="14" s="1"/>
  <c r="O98" i="9"/>
  <c r="O98" i="14" s="1"/>
  <c r="O99" i="9"/>
  <c r="O99" i="14" s="1"/>
  <c r="O100" i="9"/>
  <c r="O100" i="14" s="1"/>
  <c r="O101" i="9"/>
  <c r="O101" i="14" s="1"/>
  <c r="O102" i="9"/>
  <c r="O102" i="14" s="1"/>
  <c r="O103" i="9"/>
  <c r="O103" i="14" s="1"/>
  <c r="O104" i="9"/>
  <c r="O104" i="14" s="1"/>
  <c r="O105" i="9"/>
  <c r="O105" i="14" s="1"/>
  <c r="O106" i="9"/>
  <c r="O106" i="14" s="1"/>
  <c r="O107" i="9"/>
  <c r="O108" i="9"/>
  <c r="O108" i="14" s="1"/>
  <c r="O109" i="9"/>
  <c r="O109" i="14" s="1"/>
  <c r="O111" i="9"/>
  <c r="O111" i="14" s="1"/>
  <c r="O112" i="9"/>
  <c r="O112" i="14" s="1"/>
  <c r="O113" i="9"/>
  <c r="O113" i="14" s="1"/>
  <c r="O114" i="9"/>
  <c r="O114" i="14" s="1"/>
  <c r="O115" i="9"/>
  <c r="O115" i="14" s="1"/>
  <c r="O116" i="9"/>
  <c r="O116" i="14" s="1"/>
  <c r="O117" i="9"/>
  <c r="O117" i="14" s="1"/>
  <c r="O118" i="9"/>
  <c r="O118" i="14" s="1"/>
  <c r="O119" i="9"/>
  <c r="O119" i="14" s="1"/>
  <c r="O120" i="9"/>
  <c r="O120" i="14" s="1"/>
  <c r="O121" i="9"/>
  <c r="O121" i="14" s="1"/>
  <c r="O122" i="9"/>
  <c r="O122" i="14" s="1"/>
  <c r="O123" i="9"/>
  <c r="O123" i="14" s="1"/>
  <c r="O124" i="9"/>
  <c r="O124" i="14" s="1"/>
  <c r="O7" i="9"/>
  <c r="O7" i="14" s="1"/>
  <c r="N8" i="9"/>
  <c r="N8" i="14" s="1"/>
  <c r="N9" i="9"/>
  <c r="N9" i="14" s="1"/>
  <c r="N10" i="9"/>
  <c r="N10" i="14" s="1"/>
  <c r="N11" i="9"/>
  <c r="N11" i="14" s="1"/>
  <c r="N12" i="9"/>
  <c r="N12" i="14" s="1"/>
  <c r="N13" i="9"/>
  <c r="N13" i="14" s="1"/>
  <c r="N14" i="9"/>
  <c r="N14" i="14" s="1"/>
  <c r="N15" i="9"/>
  <c r="N15" i="14" s="1"/>
  <c r="N16" i="9"/>
  <c r="N16" i="14" s="1"/>
  <c r="N17" i="9"/>
  <c r="N17" i="14" s="1"/>
  <c r="N18" i="9"/>
  <c r="N18" i="14" s="1"/>
  <c r="N19" i="9"/>
  <c r="N19" i="14" s="1"/>
  <c r="N20" i="9"/>
  <c r="N20" i="14" s="1"/>
  <c r="N21" i="9"/>
  <c r="N21" i="14" s="1"/>
  <c r="N22" i="9"/>
  <c r="N22" i="14" s="1"/>
  <c r="N23" i="9"/>
  <c r="N23" i="14" s="1"/>
  <c r="N24" i="9"/>
  <c r="N24" i="14" s="1"/>
  <c r="N25" i="9"/>
  <c r="N25" i="14" s="1"/>
  <c r="N26" i="9"/>
  <c r="N26" i="14" s="1"/>
  <c r="N27" i="9"/>
  <c r="N27" i="14" s="1"/>
  <c r="N28" i="9"/>
  <c r="N28" i="14" s="1"/>
  <c r="N29" i="9"/>
  <c r="N29" i="14" s="1"/>
  <c r="N30" i="9"/>
  <c r="N30" i="14" s="1"/>
  <c r="N31" i="9"/>
  <c r="N31" i="14" s="1"/>
  <c r="N32" i="9"/>
  <c r="N32" i="14" s="1"/>
  <c r="N33" i="9"/>
  <c r="N33" i="14" s="1"/>
  <c r="N34" i="9"/>
  <c r="N34" i="14" s="1"/>
  <c r="N35" i="9"/>
  <c r="N35" i="14" s="1"/>
  <c r="N36" i="9"/>
  <c r="N36" i="14" s="1"/>
  <c r="N37" i="9"/>
  <c r="N37" i="14" s="1"/>
  <c r="N38" i="9"/>
  <c r="N38" i="14" s="1"/>
  <c r="N39" i="9"/>
  <c r="N39" i="14" s="1"/>
  <c r="N40" i="9"/>
  <c r="N40" i="14" s="1"/>
  <c r="N41" i="9"/>
  <c r="N41" i="14" s="1"/>
  <c r="N42" i="9"/>
  <c r="N42" i="14" s="1"/>
  <c r="N43" i="9"/>
  <c r="N43" i="14" s="1"/>
  <c r="N44" i="9"/>
  <c r="N44" i="14" s="1"/>
  <c r="N45" i="9"/>
  <c r="N45" i="14" s="1"/>
  <c r="N46" i="9"/>
  <c r="N46" i="14" s="1"/>
  <c r="N47" i="9"/>
  <c r="N47" i="14" s="1"/>
  <c r="N48" i="9"/>
  <c r="N48" i="14" s="1"/>
  <c r="N49" i="9"/>
  <c r="N49" i="14" s="1"/>
  <c r="N50" i="9"/>
  <c r="N50" i="14" s="1"/>
  <c r="N51" i="9"/>
  <c r="N51" i="14" s="1"/>
  <c r="N52" i="9"/>
  <c r="N52" i="14" s="1"/>
  <c r="N53" i="9"/>
  <c r="N53" i="14" s="1"/>
  <c r="N54" i="9"/>
  <c r="N54" i="14" s="1"/>
  <c r="N55" i="9"/>
  <c r="N55" i="14" s="1"/>
  <c r="N56" i="9"/>
  <c r="N56" i="14" s="1"/>
  <c r="N57" i="9"/>
  <c r="N57" i="14" s="1"/>
  <c r="N58" i="9"/>
  <c r="N58" i="14" s="1"/>
  <c r="N59" i="9"/>
  <c r="N59" i="14" s="1"/>
  <c r="N60" i="9"/>
  <c r="N60" i="14" s="1"/>
  <c r="N61" i="9"/>
  <c r="N61" i="14" s="1"/>
  <c r="N62" i="9"/>
  <c r="N62" i="14" s="1"/>
  <c r="N64" i="9"/>
  <c r="N64" i="14" s="1"/>
  <c r="N65" i="9"/>
  <c r="N65" i="14" s="1"/>
  <c r="N66" i="9"/>
  <c r="N66" i="14" s="1"/>
  <c r="N67" i="9"/>
  <c r="N67" i="14" s="1"/>
  <c r="N68" i="9"/>
  <c r="N68" i="14" s="1"/>
  <c r="N69" i="9"/>
  <c r="N69" i="14" s="1"/>
  <c r="N70" i="9"/>
  <c r="N70" i="14" s="1"/>
  <c r="N71" i="9"/>
  <c r="N71" i="14" s="1"/>
  <c r="N72" i="9"/>
  <c r="N72" i="14" s="1"/>
  <c r="N73" i="9"/>
  <c r="N73" i="14" s="1"/>
  <c r="N74" i="9"/>
  <c r="N74" i="14" s="1"/>
  <c r="N75" i="9"/>
  <c r="N75" i="14" s="1"/>
  <c r="N76" i="9"/>
  <c r="N76" i="14" s="1"/>
  <c r="N77" i="9"/>
  <c r="N77" i="14" s="1"/>
  <c r="N78" i="9"/>
  <c r="N78" i="14" s="1"/>
  <c r="N79" i="9"/>
  <c r="N79" i="14" s="1"/>
  <c r="N80" i="9"/>
  <c r="N80" i="14" s="1"/>
  <c r="N81" i="9"/>
  <c r="N81" i="14" s="1"/>
  <c r="N82" i="9"/>
  <c r="N82" i="14" s="1"/>
  <c r="N83" i="9"/>
  <c r="N83" i="14" s="1"/>
  <c r="N84" i="9"/>
  <c r="N84" i="14" s="1"/>
  <c r="N85" i="9"/>
  <c r="N85" i="14" s="1"/>
  <c r="N86" i="9"/>
  <c r="N86" i="14" s="1"/>
  <c r="N87" i="9"/>
  <c r="N87" i="14" s="1"/>
  <c r="N89" i="9"/>
  <c r="N89" i="14" s="1"/>
  <c r="N90" i="9"/>
  <c r="N90" i="14" s="1"/>
  <c r="N91" i="9"/>
  <c r="N91" i="14" s="1"/>
  <c r="N92" i="9"/>
  <c r="N92" i="14" s="1"/>
  <c r="N93" i="9"/>
  <c r="N93" i="14" s="1"/>
  <c r="N94" i="9"/>
  <c r="N94" i="14" s="1"/>
  <c r="N95" i="9"/>
  <c r="N95" i="14" s="1"/>
  <c r="N96" i="9"/>
  <c r="N96" i="14" s="1"/>
  <c r="N97" i="9"/>
  <c r="N97" i="14" s="1"/>
  <c r="N98" i="9"/>
  <c r="N98" i="14" s="1"/>
  <c r="N99" i="9"/>
  <c r="N99" i="14" s="1"/>
  <c r="N100" i="9"/>
  <c r="N100" i="14" s="1"/>
  <c r="N101" i="9"/>
  <c r="N101" i="14" s="1"/>
  <c r="N102" i="9"/>
  <c r="N102" i="14" s="1"/>
  <c r="N103" i="9"/>
  <c r="N103" i="14" s="1"/>
  <c r="N104" i="9"/>
  <c r="N104" i="14" s="1"/>
  <c r="N105" i="9"/>
  <c r="N105" i="14" s="1"/>
  <c r="N106" i="9"/>
  <c r="N106" i="14" s="1"/>
  <c r="N107" i="9"/>
  <c r="N107" i="14" s="1"/>
  <c r="N108" i="9"/>
  <c r="N108" i="14" s="1"/>
  <c r="N109" i="9"/>
  <c r="N109" i="14" s="1"/>
  <c r="N111" i="9"/>
  <c r="N111" i="14" s="1"/>
  <c r="N112" i="9"/>
  <c r="N112" i="14" s="1"/>
  <c r="N113" i="9"/>
  <c r="N113" i="14" s="1"/>
  <c r="N114" i="9"/>
  <c r="N114" i="14" s="1"/>
  <c r="N115" i="9"/>
  <c r="N115" i="14" s="1"/>
  <c r="N116" i="9"/>
  <c r="N116" i="14" s="1"/>
  <c r="N117" i="9"/>
  <c r="N117" i="14" s="1"/>
  <c r="N118" i="9"/>
  <c r="N118" i="14" s="1"/>
  <c r="N119" i="9"/>
  <c r="N119" i="14" s="1"/>
  <c r="N120" i="9"/>
  <c r="N120" i="14" s="1"/>
  <c r="N121" i="9"/>
  <c r="N121" i="14" s="1"/>
  <c r="N122" i="9"/>
  <c r="N122" i="14" s="1"/>
  <c r="N123" i="9"/>
  <c r="N123" i="14" s="1"/>
  <c r="N124" i="9"/>
  <c r="N124" i="14" s="1"/>
  <c r="N7" i="9"/>
  <c r="N7" i="14" s="1"/>
  <c r="L8" i="9"/>
  <c r="L8" i="14" s="1"/>
  <c r="L9" i="9"/>
  <c r="L9" i="14" s="1"/>
  <c r="L10" i="9"/>
  <c r="L10" i="14" s="1"/>
  <c r="L11" i="9"/>
  <c r="L11" i="14" s="1"/>
  <c r="L12" i="9"/>
  <c r="L12" i="14" s="1"/>
  <c r="L13" i="9"/>
  <c r="L13" i="14" s="1"/>
  <c r="L14" i="9"/>
  <c r="L14" i="14" s="1"/>
  <c r="L15" i="9"/>
  <c r="L15" i="14" s="1"/>
  <c r="L16" i="9"/>
  <c r="L16" i="14" s="1"/>
  <c r="L17" i="9"/>
  <c r="L17" i="14" s="1"/>
  <c r="L18" i="9"/>
  <c r="L18" i="14" s="1"/>
  <c r="L19" i="9"/>
  <c r="L19" i="14" s="1"/>
  <c r="L20" i="9"/>
  <c r="L20" i="14" s="1"/>
  <c r="L21" i="9"/>
  <c r="L21" i="14" s="1"/>
  <c r="L22" i="9"/>
  <c r="L22" i="14" s="1"/>
  <c r="L23" i="9"/>
  <c r="L23" i="14" s="1"/>
  <c r="L24" i="9"/>
  <c r="L24" i="14" s="1"/>
  <c r="L25" i="9"/>
  <c r="L25" i="14" s="1"/>
  <c r="L26" i="9"/>
  <c r="L26" i="14" s="1"/>
  <c r="L27" i="9"/>
  <c r="L27" i="14" s="1"/>
  <c r="L28" i="9"/>
  <c r="L28" i="14" s="1"/>
  <c r="L29" i="9"/>
  <c r="L29" i="14" s="1"/>
  <c r="L30" i="9"/>
  <c r="L30" i="14" s="1"/>
  <c r="L31" i="9"/>
  <c r="L31" i="14" s="1"/>
  <c r="L32" i="9"/>
  <c r="L32" i="14" s="1"/>
  <c r="L33" i="9"/>
  <c r="L33" i="14" s="1"/>
  <c r="L34" i="9"/>
  <c r="L34" i="14" s="1"/>
  <c r="L35" i="9"/>
  <c r="L35" i="14" s="1"/>
  <c r="L36" i="9"/>
  <c r="L36" i="14" s="1"/>
  <c r="L37" i="9"/>
  <c r="L37" i="14" s="1"/>
  <c r="L38" i="9"/>
  <c r="L38" i="14" s="1"/>
  <c r="L39" i="9"/>
  <c r="L39" i="14" s="1"/>
  <c r="L40" i="9"/>
  <c r="L40" i="14" s="1"/>
  <c r="L41" i="9"/>
  <c r="L41" i="14" s="1"/>
  <c r="L42" i="9"/>
  <c r="L42" i="14" s="1"/>
  <c r="L43" i="9"/>
  <c r="L43" i="14" s="1"/>
  <c r="L44" i="9"/>
  <c r="L44" i="14" s="1"/>
  <c r="L45" i="9"/>
  <c r="L45" i="14" s="1"/>
  <c r="L46" i="9"/>
  <c r="L46" i="14" s="1"/>
  <c r="L47" i="9"/>
  <c r="L47" i="14" s="1"/>
  <c r="L48" i="9"/>
  <c r="L48" i="14" s="1"/>
  <c r="L49" i="9"/>
  <c r="L49" i="14" s="1"/>
  <c r="L50" i="9"/>
  <c r="L50" i="14" s="1"/>
  <c r="L51" i="9"/>
  <c r="L51" i="14" s="1"/>
  <c r="L52" i="9"/>
  <c r="L52" i="14" s="1"/>
  <c r="L53" i="9"/>
  <c r="L53" i="14" s="1"/>
  <c r="L54" i="9"/>
  <c r="L54" i="14" s="1"/>
  <c r="L55" i="9"/>
  <c r="L55" i="14" s="1"/>
  <c r="L56" i="9"/>
  <c r="L56" i="14" s="1"/>
  <c r="L57" i="9"/>
  <c r="L57" i="14" s="1"/>
  <c r="L58" i="9"/>
  <c r="L58" i="14" s="1"/>
  <c r="L59" i="9"/>
  <c r="L59" i="14" s="1"/>
  <c r="L60" i="9"/>
  <c r="L60" i="14" s="1"/>
  <c r="L61" i="9"/>
  <c r="L61" i="14" s="1"/>
  <c r="L62" i="9"/>
  <c r="L62" i="14" s="1"/>
  <c r="L63" i="9"/>
  <c r="L63" i="14" s="1"/>
  <c r="L64" i="9"/>
  <c r="L64" i="14" s="1"/>
  <c r="L65" i="9"/>
  <c r="L65" i="14" s="1"/>
  <c r="L66" i="9"/>
  <c r="L66" i="14" s="1"/>
  <c r="L67" i="9"/>
  <c r="L67" i="14" s="1"/>
  <c r="L68" i="9"/>
  <c r="L68" i="14" s="1"/>
  <c r="L69" i="9"/>
  <c r="L69" i="14" s="1"/>
  <c r="L70" i="9"/>
  <c r="L70" i="14" s="1"/>
  <c r="L71" i="9"/>
  <c r="L71" i="14" s="1"/>
  <c r="L72" i="9"/>
  <c r="L72" i="14" s="1"/>
  <c r="L73" i="9"/>
  <c r="L73" i="14" s="1"/>
  <c r="L74" i="9"/>
  <c r="L74" i="14" s="1"/>
  <c r="L75" i="9"/>
  <c r="L75" i="14" s="1"/>
  <c r="L76" i="9"/>
  <c r="L76" i="14" s="1"/>
  <c r="L77" i="9"/>
  <c r="L77" i="14" s="1"/>
  <c r="L78" i="9"/>
  <c r="L78" i="14" s="1"/>
  <c r="L79" i="9"/>
  <c r="L79" i="14" s="1"/>
  <c r="L80" i="9"/>
  <c r="L80" i="14" s="1"/>
  <c r="L81" i="9"/>
  <c r="L81" i="14" s="1"/>
  <c r="L82" i="9"/>
  <c r="L82" i="14" s="1"/>
  <c r="L83" i="9"/>
  <c r="L83" i="14" s="1"/>
  <c r="L84" i="9"/>
  <c r="L84" i="14" s="1"/>
  <c r="L85" i="9"/>
  <c r="L85" i="14" s="1"/>
  <c r="L86" i="9"/>
  <c r="L86" i="14" s="1"/>
  <c r="L89" i="9"/>
  <c r="L89" i="14" s="1"/>
  <c r="L90" i="9"/>
  <c r="L90" i="14" s="1"/>
  <c r="L91" i="9"/>
  <c r="L91" i="14" s="1"/>
  <c r="L92" i="9"/>
  <c r="L92" i="14" s="1"/>
  <c r="L93" i="9"/>
  <c r="L93" i="14" s="1"/>
  <c r="L94" i="9"/>
  <c r="L94" i="14" s="1"/>
  <c r="L95" i="9"/>
  <c r="L95" i="14" s="1"/>
  <c r="L96" i="9"/>
  <c r="L96" i="14" s="1"/>
  <c r="L97" i="9"/>
  <c r="L97" i="14" s="1"/>
  <c r="L98" i="9"/>
  <c r="L98" i="14" s="1"/>
  <c r="L99" i="9"/>
  <c r="L99" i="14" s="1"/>
  <c r="L100" i="9"/>
  <c r="L100" i="14" s="1"/>
  <c r="L101" i="9"/>
  <c r="L101" i="14" s="1"/>
  <c r="L102" i="9"/>
  <c r="L102" i="14" s="1"/>
  <c r="L103" i="9"/>
  <c r="L103" i="14" s="1"/>
  <c r="L104" i="9"/>
  <c r="L104" i="14" s="1"/>
  <c r="L105" i="9"/>
  <c r="L105" i="14" s="1"/>
  <c r="L106" i="9"/>
  <c r="L106" i="14" s="1"/>
  <c r="L107" i="9"/>
  <c r="L107" i="14" s="1"/>
  <c r="L108" i="9"/>
  <c r="L108" i="14" s="1"/>
  <c r="L109" i="9"/>
  <c r="L109" i="14" s="1"/>
  <c r="L110" i="9"/>
  <c r="L110" i="14" s="1"/>
  <c r="L111" i="9"/>
  <c r="L111" i="14" s="1"/>
  <c r="L112" i="9"/>
  <c r="L112" i="14" s="1"/>
  <c r="L113" i="9"/>
  <c r="L113" i="14" s="1"/>
  <c r="L114" i="9"/>
  <c r="L114" i="14" s="1"/>
  <c r="L115" i="9"/>
  <c r="L115" i="14" s="1"/>
  <c r="L116" i="9"/>
  <c r="L116" i="14" s="1"/>
  <c r="L117" i="9"/>
  <c r="L117" i="14" s="1"/>
  <c r="L118" i="9"/>
  <c r="L118" i="14" s="1"/>
  <c r="L119" i="9"/>
  <c r="L119" i="14" s="1"/>
  <c r="L120" i="9"/>
  <c r="L120" i="14" s="1"/>
  <c r="L121" i="9"/>
  <c r="L121" i="14" s="1"/>
  <c r="L122" i="9"/>
  <c r="L122" i="14" s="1"/>
  <c r="L123" i="9"/>
  <c r="L123" i="14" s="1"/>
  <c r="L124" i="9"/>
  <c r="L124" i="14" s="1"/>
  <c r="L7" i="9"/>
  <c r="L7" i="14" s="1"/>
  <c r="K8" i="9"/>
  <c r="K8" i="14" s="1"/>
  <c r="K9" i="9"/>
  <c r="K9" i="14" s="1"/>
  <c r="K10" i="9"/>
  <c r="K10" i="14" s="1"/>
  <c r="K11" i="9"/>
  <c r="K11" i="14" s="1"/>
  <c r="K12" i="9"/>
  <c r="K12" i="14" s="1"/>
  <c r="K13" i="9"/>
  <c r="K13" i="14" s="1"/>
  <c r="K14" i="9"/>
  <c r="K14" i="14" s="1"/>
  <c r="K15" i="9"/>
  <c r="K15" i="14" s="1"/>
  <c r="K16" i="9"/>
  <c r="K16" i="14" s="1"/>
  <c r="K17" i="9"/>
  <c r="K17" i="14" s="1"/>
  <c r="K18" i="9"/>
  <c r="K18" i="14" s="1"/>
  <c r="K19" i="9"/>
  <c r="K19" i="14" s="1"/>
  <c r="K20" i="9"/>
  <c r="K20" i="14" s="1"/>
  <c r="K21" i="9"/>
  <c r="K21" i="14" s="1"/>
  <c r="K22" i="9"/>
  <c r="K22" i="14" s="1"/>
  <c r="K23" i="9"/>
  <c r="K23" i="14" s="1"/>
  <c r="K24" i="9"/>
  <c r="K24" i="14" s="1"/>
  <c r="K25" i="9"/>
  <c r="K25" i="14" s="1"/>
  <c r="K26" i="9"/>
  <c r="K26" i="14" s="1"/>
  <c r="K27" i="9"/>
  <c r="K27" i="14" s="1"/>
  <c r="K28" i="9"/>
  <c r="K28" i="14" s="1"/>
  <c r="K29" i="9"/>
  <c r="K29" i="14" s="1"/>
  <c r="K30" i="9"/>
  <c r="K30" i="14" s="1"/>
  <c r="K31" i="9"/>
  <c r="K31" i="14" s="1"/>
  <c r="K32" i="9"/>
  <c r="K32" i="14" s="1"/>
  <c r="K33" i="9"/>
  <c r="K33" i="14" s="1"/>
  <c r="K34" i="9"/>
  <c r="K34" i="14" s="1"/>
  <c r="K35" i="9"/>
  <c r="K35" i="14" s="1"/>
  <c r="K36" i="9"/>
  <c r="K36" i="14" s="1"/>
  <c r="K37" i="9"/>
  <c r="K37" i="14" s="1"/>
  <c r="K38" i="9"/>
  <c r="K38" i="14" s="1"/>
  <c r="K39" i="9"/>
  <c r="K39" i="14" s="1"/>
  <c r="K40" i="9"/>
  <c r="K40" i="14" s="1"/>
  <c r="K41" i="9"/>
  <c r="K41" i="14" s="1"/>
  <c r="K42" i="9"/>
  <c r="K42" i="14" s="1"/>
  <c r="K43" i="9"/>
  <c r="K43" i="14" s="1"/>
  <c r="K44" i="9"/>
  <c r="K44" i="14" s="1"/>
  <c r="K45" i="9"/>
  <c r="K45" i="14" s="1"/>
  <c r="K46" i="9"/>
  <c r="K46" i="14" s="1"/>
  <c r="K47" i="9"/>
  <c r="K47" i="14" s="1"/>
  <c r="K48" i="9"/>
  <c r="K48" i="14" s="1"/>
  <c r="K49" i="9"/>
  <c r="K49" i="14" s="1"/>
  <c r="K50" i="9"/>
  <c r="K50" i="14" s="1"/>
  <c r="K51" i="9"/>
  <c r="K51" i="14" s="1"/>
  <c r="K52" i="9"/>
  <c r="K52" i="14" s="1"/>
  <c r="K53" i="9"/>
  <c r="K53" i="14" s="1"/>
  <c r="K54" i="9"/>
  <c r="K54" i="14" s="1"/>
  <c r="K55" i="9"/>
  <c r="K55" i="14" s="1"/>
  <c r="K56" i="9"/>
  <c r="K56" i="14" s="1"/>
  <c r="K57" i="9"/>
  <c r="K57" i="14" s="1"/>
  <c r="K58" i="9"/>
  <c r="K58" i="14" s="1"/>
  <c r="K59" i="9"/>
  <c r="K59" i="14" s="1"/>
  <c r="K60" i="9"/>
  <c r="K60" i="14" s="1"/>
  <c r="K61" i="9"/>
  <c r="K61" i="14" s="1"/>
  <c r="K62" i="9"/>
  <c r="K62" i="14" s="1"/>
  <c r="K63" i="9"/>
  <c r="K63" i="14" s="1"/>
  <c r="K64" i="9"/>
  <c r="K64" i="14" s="1"/>
  <c r="K65" i="9"/>
  <c r="K65" i="14" s="1"/>
  <c r="K66" i="9"/>
  <c r="K66" i="14" s="1"/>
  <c r="K67" i="9"/>
  <c r="K67" i="14" s="1"/>
  <c r="K68" i="9"/>
  <c r="K68" i="14" s="1"/>
  <c r="K69" i="9"/>
  <c r="K69" i="14" s="1"/>
  <c r="K70" i="9"/>
  <c r="K70" i="14" s="1"/>
  <c r="K71" i="9"/>
  <c r="K71" i="14" s="1"/>
  <c r="K72" i="9"/>
  <c r="K72" i="14" s="1"/>
  <c r="K73" i="9"/>
  <c r="K73" i="14" s="1"/>
  <c r="K74" i="9"/>
  <c r="K74" i="14" s="1"/>
  <c r="K75" i="9"/>
  <c r="K75" i="14" s="1"/>
  <c r="K76" i="9"/>
  <c r="K76" i="14" s="1"/>
  <c r="K77" i="9"/>
  <c r="K77" i="14" s="1"/>
  <c r="K78" i="9"/>
  <c r="K78" i="14" s="1"/>
  <c r="K79" i="9"/>
  <c r="K79" i="14" s="1"/>
  <c r="K80" i="9"/>
  <c r="K80" i="14" s="1"/>
  <c r="K81" i="9"/>
  <c r="K81" i="14" s="1"/>
  <c r="K82" i="9"/>
  <c r="K82" i="14" s="1"/>
  <c r="K83" i="9"/>
  <c r="K83" i="14" s="1"/>
  <c r="K84" i="9"/>
  <c r="K84" i="14" s="1"/>
  <c r="K85" i="9"/>
  <c r="K85" i="14" s="1"/>
  <c r="K86" i="9"/>
  <c r="K86" i="14" s="1"/>
  <c r="K87" i="9"/>
  <c r="K87" i="14" s="1"/>
  <c r="K89" i="9"/>
  <c r="K89" i="14" s="1"/>
  <c r="K90" i="9"/>
  <c r="K90" i="14" s="1"/>
  <c r="K91" i="9"/>
  <c r="K91" i="14" s="1"/>
  <c r="K92" i="9"/>
  <c r="K92" i="14" s="1"/>
  <c r="K93" i="9"/>
  <c r="K93" i="14" s="1"/>
  <c r="K94" i="9"/>
  <c r="K94" i="14" s="1"/>
  <c r="K95" i="9"/>
  <c r="K95" i="14" s="1"/>
  <c r="K96" i="9"/>
  <c r="K96" i="14" s="1"/>
  <c r="K97" i="9"/>
  <c r="K97" i="14" s="1"/>
  <c r="K98" i="9"/>
  <c r="K98" i="14" s="1"/>
  <c r="K99" i="9"/>
  <c r="K99" i="14" s="1"/>
  <c r="K100" i="9"/>
  <c r="K100" i="14" s="1"/>
  <c r="K101" i="9"/>
  <c r="K101" i="14" s="1"/>
  <c r="K102" i="9"/>
  <c r="K102" i="14" s="1"/>
  <c r="K103" i="9"/>
  <c r="K103" i="14" s="1"/>
  <c r="K104" i="9"/>
  <c r="K104" i="14" s="1"/>
  <c r="K105" i="9"/>
  <c r="K105" i="14" s="1"/>
  <c r="K106" i="9"/>
  <c r="K106" i="14" s="1"/>
  <c r="K107" i="9"/>
  <c r="K107" i="14" s="1"/>
  <c r="K108" i="9"/>
  <c r="K108" i="14" s="1"/>
  <c r="K109" i="9"/>
  <c r="K109" i="14" s="1"/>
  <c r="K110" i="9"/>
  <c r="K110" i="14" s="1"/>
  <c r="K111" i="9"/>
  <c r="K111" i="14" s="1"/>
  <c r="K112" i="9"/>
  <c r="K112" i="14" s="1"/>
  <c r="K113" i="9"/>
  <c r="K113" i="14" s="1"/>
  <c r="K114" i="9"/>
  <c r="K114" i="14" s="1"/>
  <c r="K115" i="9"/>
  <c r="K115" i="14" s="1"/>
  <c r="K116" i="9"/>
  <c r="K116" i="14" s="1"/>
  <c r="K117" i="9"/>
  <c r="K117" i="14" s="1"/>
  <c r="K118" i="9"/>
  <c r="K118" i="14" s="1"/>
  <c r="K119" i="9"/>
  <c r="K119" i="14" s="1"/>
  <c r="K120" i="9"/>
  <c r="K120" i="14" s="1"/>
  <c r="K121" i="9"/>
  <c r="K121" i="14" s="1"/>
  <c r="K122" i="9"/>
  <c r="K122" i="14" s="1"/>
  <c r="K123" i="9"/>
  <c r="K123" i="14" s="1"/>
  <c r="K124" i="9"/>
  <c r="K124" i="14" s="1"/>
  <c r="K7" i="9"/>
  <c r="K7" i="14" s="1"/>
  <c r="J8" i="9"/>
  <c r="J8" i="14" s="1"/>
  <c r="J9" i="9"/>
  <c r="J9" i="14" s="1"/>
  <c r="J10" i="9"/>
  <c r="J10" i="14" s="1"/>
  <c r="J11" i="9"/>
  <c r="J11" i="14" s="1"/>
  <c r="J12" i="9"/>
  <c r="J12" i="14" s="1"/>
  <c r="J13" i="9"/>
  <c r="J13" i="14" s="1"/>
  <c r="J14" i="9"/>
  <c r="J14" i="14" s="1"/>
  <c r="J15" i="9"/>
  <c r="J15" i="14" s="1"/>
  <c r="J16" i="9"/>
  <c r="J16" i="14" s="1"/>
  <c r="J17" i="9"/>
  <c r="J17" i="14" s="1"/>
  <c r="J18" i="9"/>
  <c r="J18" i="14" s="1"/>
  <c r="J19" i="9"/>
  <c r="J19" i="14" s="1"/>
  <c r="J20" i="9"/>
  <c r="J20" i="14" s="1"/>
  <c r="J21" i="9"/>
  <c r="J21" i="14" s="1"/>
  <c r="J22" i="9"/>
  <c r="J22" i="14" s="1"/>
  <c r="J23" i="9"/>
  <c r="J23" i="14" s="1"/>
  <c r="J24" i="9"/>
  <c r="J24" i="14" s="1"/>
  <c r="J25" i="9"/>
  <c r="J25" i="14" s="1"/>
  <c r="J26" i="9"/>
  <c r="J26" i="14" s="1"/>
  <c r="J27" i="9"/>
  <c r="J27" i="14" s="1"/>
  <c r="J28" i="9"/>
  <c r="J28" i="14" s="1"/>
  <c r="J29" i="9"/>
  <c r="J29" i="14" s="1"/>
  <c r="J30" i="9"/>
  <c r="J30" i="14" s="1"/>
  <c r="J31" i="9"/>
  <c r="J31" i="14" s="1"/>
  <c r="J32" i="9"/>
  <c r="J32" i="14" s="1"/>
  <c r="J33" i="9"/>
  <c r="J33" i="14" s="1"/>
  <c r="J34" i="9"/>
  <c r="J34" i="14" s="1"/>
  <c r="J35" i="9"/>
  <c r="J35" i="14" s="1"/>
  <c r="J36" i="9"/>
  <c r="J36" i="14" s="1"/>
  <c r="J37" i="9"/>
  <c r="J37" i="14" s="1"/>
  <c r="J38" i="9"/>
  <c r="J38" i="14" s="1"/>
  <c r="J39" i="9"/>
  <c r="J39" i="14" s="1"/>
  <c r="J40" i="9"/>
  <c r="J40" i="14" s="1"/>
  <c r="J41" i="9"/>
  <c r="J41" i="14" s="1"/>
  <c r="J42" i="9"/>
  <c r="J42" i="14" s="1"/>
  <c r="J43" i="9"/>
  <c r="J43" i="14" s="1"/>
  <c r="J44" i="9"/>
  <c r="J44" i="14" s="1"/>
  <c r="J45" i="9"/>
  <c r="J45" i="14" s="1"/>
  <c r="J46" i="9"/>
  <c r="J46" i="14" s="1"/>
  <c r="J47" i="9"/>
  <c r="J47" i="14" s="1"/>
  <c r="J48" i="9"/>
  <c r="J48" i="14" s="1"/>
  <c r="J49" i="9"/>
  <c r="J49" i="14" s="1"/>
  <c r="J50" i="9"/>
  <c r="J50" i="14" s="1"/>
  <c r="J51" i="9"/>
  <c r="J51" i="14" s="1"/>
  <c r="J52" i="9"/>
  <c r="J52" i="14" s="1"/>
  <c r="J53" i="9"/>
  <c r="J53" i="14" s="1"/>
  <c r="J54" i="9"/>
  <c r="J54" i="14" s="1"/>
  <c r="J55" i="9"/>
  <c r="J55" i="14" s="1"/>
  <c r="J56" i="9"/>
  <c r="J56" i="14" s="1"/>
  <c r="J57" i="9"/>
  <c r="J57" i="14" s="1"/>
  <c r="J58" i="9"/>
  <c r="J58" i="14" s="1"/>
  <c r="J59" i="9"/>
  <c r="J59" i="14" s="1"/>
  <c r="J60" i="9"/>
  <c r="J60" i="14" s="1"/>
  <c r="J61" i="9"/>
  <c r="J61" i="14" s="1"/>
  <c r="J62" i="9"/>
  <c r="J62" i="14" s="1"/>
  <c r="J63" i="9"/>
  <c r="J63" i="14" s="1"/>
  <c r="J64" i="9"/>
  <c r="J64" i="14" s="1"/>
  <c r="J65" i="9"/>
  <c r="J65" i="14" s="1"/>
  <c r="J66" i="9"/>
  <c r="J66" i="14" s="1"/>
  <c r="J67" i="9"/>
  <c r="J67" i="14" s="1"/>
  <c r="J68" i="9"/>
  <c r="J68" i="14" s="1"/>
  <c r="J69" i="9"/>
  <c r="J69" i="14" s="1"/>
  <c r="J70" i="9"/>
  <c r="J70" i="14" s="1"/>
  <c r="J71" i="9"/>
  <c r="J71" i="14" s="1"/>
  <c r="J72" i="9"/>
  <c r="J72" i="14" s="1"/>
  <c r="J73" i="9"/>
  <c r="J73" i="14" s="1"/>
  <c r="J74" i="9"/>
  <c r="J74" i="14" s="1"/>
  <c r="J75" i="9"/>
  <c r="J75" i="14" s="1"/>
  <c r="J76" i="9"/>
  <c r="J76" i="14" s="1"/>
  <c r="J77" i="9"/>
  <c r="J77" i="14" s="1"/>
  <c r="J78" i="9"/>
  <c r="J78" i="14" s="1"/>
  <c r="J79" i="9"/>
  <c r="J79" i="14" s="1"/>
  <c r="J80" i="9"/>
  <c r="J80" i="14" s="1"/>
  <c r="J81" i="9"/>
  <c r="J81" i="14" s="1"/>
  <c r="J82" i="9"/>
  <c r="J82" i="14" s="1"/>
  <c r="J83" i="9"/>
  <c r="J83" i="14" s="1"/>
  <c r="J84" i="9"/>
  <c r="J84" i="14" s="1"/>
  <c r="J85" i="9"/>
  <c r="J85" i="14" s="1"/>
  <c r="J86" i="9"/>
  <c r="J86" i="14" s="1"/>
  <c r="J87" i="9"/>
  <c r="J87" i="14" s="1"/>
  <c r="J89" i="9"/>
  <c r="J89" i="14" s="1"/>
  <c r="J90" i="9"/>
  <c r="J90" i="14" s="1"/>
  <c r="J91" i="9"/>
  <c r="J91" i="14" s="1"/>
  <c r="J92" i="9"/>
  <c r="J92" i="14" s="1"/>
  <c r="J93" i="9"/>
  <c r="J93" i="14" s="1"/>
  <c r="J94" i="9"/>
  <c r="J94" i="14" s="1"/>
  <c r="J95" i="9"/>
  <c r="J95" i="14" s="1"/>
  <c r="J96" i="9"/>
  <c r="J96" i="14" s="1"/>
  <c r="J97" i="9"/>
  <c r="J97" i="14" s="1"/>
  <c r="J98" i="9"/>
  <c r="J98" i="14" s="1"/>
  <c r="J99" i="9"/>
  <c r="J99" i="14" s="1"/>
  <c r="J100" i="9"/>
  <c r="J100" i="14" s="1"/>
  <c r="J101" i="9"/>
  <c r="J101" i="14" s="1"/>
  <c r="J102" i="9"/>
  <c r="J102" i="14" s="1"/>
  <c r="J103" i="9"/>
  <c r="J103" i="14" s="1"/>
  <c r="J104" i="9"/>
  <c r="J104" i="14" s="1"/>
  <c r="J105" i="9"/>
  <c r="J105" i="14" s="1"/>
  <c r="J106" i="9"/>
  <c r="J106" i="14" s="1"/>
  <c r="J107" i="9"/>
  <c r="J107" i="14" s="1"/>
  <c r="J108" i="9"/>
  <c r="J108" i="14" s="1"/>
  <c r="J109" i="9"/>
  <c r="J109" i="14" s="1"/>
  <c r="J110" i="9"/>
  <c r="J110" i="14" s="1"/>
  <c r="J111" i="9"/>
  <c r="J111" i="14" s="1"/>
  <c r="J112" i="9"/>
  <c r="J112" i="14" s="1"/>
  <c r="J113" i="9"/>
  <c r="J113" i="14" s="1"/>
  <c r="J114" i="9"/>
  <c r="J114" i="14" s="1"/>
  <c r="J115" i="9"/>
  <c r="J115" i="14" s="1"/>
  <c r="J116" i="9"/>
  <c r="J116" i="14" s="1"/>
  <c r="J117" i="9"/>
  <c r="J117" i="14" s="1"/>
  <c r="J118" i="9"/>
  <c r="J118" i="14" s="1"/>
  <c r="J119" i="9"/>
  <c r="J119" i="14" s="1"/>
  <c r="J120" i="9"/>
  <c r="J120" i="14" s="1"/>
  <c r="J121" i="9"/>
  <c r="J121" i="14" s="1"/>
  <c r="J122" i="9"/>
  <c r="J122" i="14" s="1"/>
  <c r="J123" i="9"/>
  <c r="J123" i="14" s="1"/>
  <c r="J124" i="9"/>
  <c r="J124" i="14" s="1"/>
  <c r="J7" i="9"/>
  <c r="J7" i="14" s="1"/>
  <c r="I8" i="9"/>
  <c r="I8" i="14" s="1"/>
  <c r="I9" i="9"/>
  <c r="I9" i="14" s="1"/>
  <c r="I10" i="9"/>
  <c r="I10" i="14" s="1"/>
  <c r="I11" i="9"/>
  <c r="I11" i="14" s="1"/>
  <c r="I12" i="9"/>
  <c r="I12" i="14" s="1"/>
  <c r="I13" i="9"/>
  <c r="I13" i="14" s="1"/>
  <c r="I14" i="9"/>
  <c r="I14" i="14" s="1"/>
  <c r="I15" i="9"/>
  <c r="I15" i="14" s="1"/>
  <c r="I16" i="9"/>
  <c r="I16" i="14" s="1"/>
  <c r="I17" i="9"/>
  <c r="I17" i="14" s="1"/>
  <c r="I18" i="9"/>
  <c r="I18" i="14" s="1"/>
  <c r="I19" i="9"/>
  <c r="I19" i="14" s="1"/>
  <c r="I20" i="9"/>
  <c r="I20" i="14" s="1"/>
  <c r="I21" i="9"/>
  <c r="I21" i="14" s="1"/>
  <c r="I22" i="9"/>
  <c r="I22" i="14" s="1"/>
  <c r="I23" i="9"/>
  <c r="I23" i="14" s="1"/>
  <c r="I24" i="9"/>
  <c r="I24" i="14" s="1"/>
  <c r="I25" i="9"/>
  <c r="I25" i="14" s="1"/>
  <c r="I26" i="9"/>
  <c r="I26" i="14" s="1"/>
  <c r="I27" i="9"/>
  <c r="I27" i="14" s="1"/>
  <c r="I28" i="9"/>
  <c r="I28" i="14" s="1"/>
  <c r="I29" i="9"/>
  <c r="I29" i="14" s="1"/>
  <c r="I30" i="9"/>
  <c r="I30" i="14" s="1"/>
  <c r="I31" i="9"/>
  <c r="I31" i="14" s="1"/>
  <c r="I32" i="9"/>
  <c r="I32" i="14" s="1"/>
  <c r="I33" i="9"/>
  <c r="I33" i="14" s="1"/>
  <c r="I34" i="9"/>
  <c r="I34" i="14" s="1"/>
  <c r="I35" i="9"/>
  <c r="I35" i="14" s="1"/>
  <c r="I36" i="9"/>
  <c r="I36" i="14" s="1"/>
  <c r="I37" i="9"/>
  <c r="I37" i="14" s="1"/>
  <c r="I38" i="9"/>
  <c r="I38" i="14" s="1"/>
  <c r="I39" i="9"/>
  <c r="I39" i="14" s="1"/>
  <c r="I40" i="9"/>
  <c r="I40" i="14" s="1"/>
  <c r="I41" i="9"/>
  <c r="I41" i="14" s="1"/>
  <c r="I42" i="9"/>
  <c r="I42" i="14" s="1"/>
  <c r="I43" i="9"/>
  <c r="I43" i="14" s="1"/>
  <c r="I44" i="9"/>
  <c r="I44" i="14" s="1"/>
  <c r="I45" i="9"/>
  <c r="I45" i="14" s="1"/>
  <c r="I46" i="9"/>
  <c r="I46" i="14" s="1"/>
  <c r="I47" i="9"/>
  <c r="I47" i="14" s="1"/>
  <c r="I48" i="9"/>
  <c r="I48" i="14" s="1"/>
  <c r="I49" i="9"/>
  <c r="I49" i="14" s="1"/>
  <c r="I50" i="9"/>
  <c r="I50" i="14" s="1"/>
  <c r="I51" i="9"/>
  <c r="I51" i="14" s="1"/>
  <c r="I52" i="9"/>
  <c r="I52" i="14" s="1"/>
  <c r="I53" i="9"/>
  <c r="I53" i="14" s="1"/>
  <c r="I54" i="9"/>
  <c r="I54" i="14" s="1"/>
  <c r="I55" i="9"/>
  <c r="I55" i="14" s="1"/>
  <c r="I56" i="9"/>
  <c r="I56" i="14" s="1"/>
  <c r="I57" i="9"/>
  <c r="I57" i="14" s="1"/>
  <c r="I58" i="9"/>
  <c r="I58" i="14" s="1"/>
  <c r="I59" i="9"/>
  <c r="I59" i="14" s="1"/>
  <c r="I60" i="9"/>
  <c r="I60" i="14" s="1"/>
  <c r="I61" i="9"/>
  <c r="I61" i="14" s="1"/>
  <c r="I62" i="9"/>
  <c r="I62" i="14" s="1"/>
  <c r="I63" i="9"/>
  <c r="I63" i="14" s="1"/>
  <c r="I64" i="9"/>
  <c r="I64" i="14" s="1"/>
  <c r="I65" i="9"/>
  <c r="I65" i="14" s="1"/>
  <c r="I66" i="9"/>
  <c r="I66" i="14" s="1"/>
  <c r="I67" i="9"/>
  <c r="I67" i="14" s="1"/>
  <c r="I68" i="9"/>
  <c r="I68" i="14" s="1"/>
  <c r="I69" i="9"/>
  <c r="I69" i="14" s="1"/>
  <c r="I70" i="9"/>
  <c r="I70" i="14" s="1"/>
  <c r="I71" i="9"/>
  <c r="I71" i="14" s="1"/>
  <c r="I72" i="9"/>
  <c r="I72" i="14" s="1"/>
  <c r="I73" i="9"/>
  <c r="I73" i="14" s="1"/>
  <c r="I74" i="9"/>
  <c r="I74" i="14" s="1"/>
  <c r="I75" i="9"/>
  <c r="I75" i="14" s="1"/>
  <c r="I76" i="9"/>
  <c r="I76" i="14" s="1"/>
  <c r="I77" i="9"/>
  <c r="I77" i="14" s="1"/>
  <c r="I78" i="9"/>
  <c r="I78" i="14" s="1"/>
  <c r="I79" i="9"/>
  <c r="I79" i="14" s="1"/>
  <c r="I80" i="9"/>
  <c r="I80" i="14" s="1"/>
  <c r="I81" i="9"/>
  <c r="I81" i="14" s="1"/>
  <c r="I82" i="9"/>
  <c r="I82" i="14" s="1"/>
  <c r="I83" i="9"/>
  <c r="I83" i="14" s="1"/>
  <c r="I84" i="9"/>
  <c r="I84" i="14" s="1"/>
  <c r="I85" i="9"/>
  <c r="I85" i="14" s="1"/>
  <c r="I86" i="9"/>
  <c r="I86" i="14" s="1"/>
  <c r="I87" i="9"/>
  <c r="I87" i="14" s="1"/>
  <c r="I89" i="9"/>
  <c r="I89" i="14" s="1"/>
  <c r="I90" i="9"/>
  <c r="I90" i="14" s="1"/>
  <c r="I91" i="9"/>
  <c r="I91" i="14" s="1"/>
  <c r="I92" i="9"/>
  <c r="I92" i="14" s="1"/>
  <c r="I93" i="9"/>
  <c r="I93" i="14" s="1"/>
  <c r="I94" i="9"/>
  <c r="I94" i="14" s="1"/>
  <c r="I95" i="9"/>
  <c r="I95" i="14" s="1"/>
  <c r="I96" i="9"/>
  <c r="I96" i="14" s="1"/>
  <c r="I97" i="9"/>
  <c r="I97" i="14" s="1"/>
  <c r="I98" i="9"/>
  <c r="I98" i="14" s="1"/>
  <c r="I99" i="9"/>
  <c r="I99" i="14" s="1"/>
  <c r="I100" i="9"/>
  <c r="I100" i="14" s="1"/>
  <c r="I101" i="9"/>
  <c r="I101" i="14" s="1"/>
  <c r="I102" i="9"/>
  <c r="I102" i="14" s="1"/>
  <c r="I103" i="9"/>
  <c r="I103" i="14" s="1"/>
  <c r="I104" i="9"/>
  <c r="I104" i="14" s="1"/>
  <c r="I105" i="9"/>
  <c r="I105" i="14" s="1"/>
  <c r="I106" i="9"/>
  <c r="I106" i="14" s="1"/>
  <c r="I107" i="9"/>
  <c r="I107" i="14" s="1"/>
  <c r="I108" i="9"/>
  <c r="I108" i="14" s="1"/>
  <c r="I109" i="9"/>
  <c r="I109" i="14" s="1"/>
  <c r="I110" i="9"/>
  <c r="I110" i="14" s="1"/>
  <c r="I111" i="9"/>
  <c r="I111" i="14" s="1"/>
  <c r="I112" i="9"/>
  <c r="I112" i="14" s="1"/>
  <c r="I113" i="9"/>
  <c r="I113" i="14" s="1"/>
  <c r="I114" i="9"/>
  <c r="I114" i="14" s="1"/>
  <c r="I115" i="9"/>
  <c r="I115" i="14" s="1"/>
  <c r="I116" i="9"/>
  <c r="I116" i="14" s="1"/>
  <c r="I117" i="9"/>
  <c r="I117" i="14" s="1"/>
  <c r="I118" i="9"/>
  <c r="I118" i="14" s="1"/>
  <c r="I119" i="9"/>
  <c r="I119" i="14" s="1"/>
  <c r="I120" i="9"/>
  <c r="I120" i="14" s="1"/>
  <c r="I121" i="9"/>
  <c r="I121" i="14" s="1"/>
  <c r="I122" i="9"/>
  <c r="I122" i="14" s="1"/>
  <c r="I123" i="9"/>
  <c r="I123" i="14" s="1"/>
  <c r="I124" i="9"/>
  <c r="I124" i="14" s="1"/>
  <c r="I7" i="9"/>
  <c r="I7" i="14" s="1"/>
  <c r="G8" i="9"/>
  <c r="G8" i="14" s="1"/>
  <c r="G9" i="9"/>
  <c r="G9" i="14" s="1"/>
  <c r="G10" i="9"/>
  <c r="G10" i="14" s="1"/>
  <c r="G11" i="9"/>
  <c r="G11" i="14" s="1"/>
  <c r="G12" i="9"/>
  <c r="G12" i="14" s="1"/>
  <c r="G13" i="9"/>
  <c r="G13" i="14" s="1"/>
  <c r="G14" i="9"/>
  <c r="G14" i="14" s="1"/>
  <c r="G15" i="9"/>
  <c r="G15" i="14" s="1"/>
  <c r="G16" i="9"/>
  <c r="G16" i="14" s="1"/>
  <c r="G17" i="9"/>
  <c r="G17" i="14" s="1"/>
  <c r="G18" i="9"/>
  <c r="G18" i="14" s="1"/>
  <c r="G19" i="9"/>
  <c r="G19" i="14" s="1"/>
  <c r="G20" i="9"/>
  <c r="G20" i="14" s="1"/>
  <c r="G21" i="9"/>
  <c r="G21" i="14" s="1"/>
  <c r="G22" i="9"/>
  <c r="G22" i="14" s="1"/>
  <c r="G23" i="9"/>
  <c r="G23" i="14" s="1"/>
  <c r="G24" i="9"/>
  <c r="G24" i="14" s="1"/>
  <c r="G25" i="9"/>
  <c r="G25" i="14" s="1"/>
  <c r="G26" i="9"/>
  <c r="G26" i="14" s="1"/>
  <c r="G27" i="9"/>
  <c r="G27" i="14" s="1"/>
  <c r="G28" i="9"/>
  <c r="G28" i="14" s="1"/>
  <c r="G29" i="9"/>
  <c r="G29" i="14" s="1"/>
  <c r="G30" i="9"/>
  <c r="G30" i="14" s="1"/>
  <c r="G31" i="9"/>
  <c r="G31" i="14" s="1"/>
  <c r="G32" i="9"/>
  <c r="G32" i="14" s="1"/>
  <c r="G33" i="9"/>
  <c r="G33" i="14" s="1"/>
  <c r="G34" i="9"/>
  <c r="G34" i="14" s="1"/>
  <c r="G35" i="9"/>
  <c r="G35" i="14" s="1"/>
  <c r="G36" i="9"/>
  <c r="G36" i="14" s="1"/>
  <c r="G37" i="9"/>
  <c r="G37" i="14" s="1"/>
  <c r="G38" i="9"/>
  <c r="G38" i="14" s="1"/>
  <c r="G39" i="9"/>
  <c r="G39" i="14" s="1"/>
  <c r="G40" i="9"/>
  <c r="G40" i="14" s="1"/>
  <c r="G41" i="9"/>
  <c r="G41" i="14" s="1"/>
  <c r="G42" i="9"/>
  <c r="G42" i="14" s="1"/>
  <c r="G43" i="9"/>
  <c r="G43" i="14" s="1"/>
  <c r="G44" i="9"/>
  <c r="G44" i="14" s="1"/>
  <c r="G45" i="9"/>
  <c r="G45" i="14" s="1"/>
  <c r="G46" i="9"/>
  <c r="G46" i="14" s="1"/>
  <c r="G47" i="9"/>
  <c r="G47" i="14" s="1"/>
  <c r="G48" i="9"/>
  <c r="G48" i="14" s="1"/>
  <c r="G49" i="9"/>
  <c r="G49" i="14" s="1"/>
  <c r="G50" i="9"/>
  <c r="G50" i="14" s="1"/>
  <c r="G51" i="9"/>
  <c r="G51" i="14" s="1"/>
  <c r="G52" i="9"/>
  <c r="G52" i="14" s="1"/>
  <c r="G53" i="9"/>
  <c r="G53" i="14" s="1"/>
  <c r="G54" i="9"/>
  <c r="G54" i="14" s="1"/>
  <c r="G55" i="9"/>
  <c r="G55" i="14" s="1"/>
  <c r="G56" i="9"/>
  <c r="G56" i="14" s="1"/>
  <c r="G57" i="9"/>
  <c r="G57" i="14" s="1"/>
  <c r="G58" i="9"/>
  <c r="G58" i="14" s="1"/>
  <c r="G59" i="9"/>
  <c r="G59" i="14" s="1"/>
  <c r="G60" i="9"/>
  <c r="G60" i="14" s="1"/>
  <c r="G61" i="9"/>
  <c r="G61" i="14" s="1"/>
  <c r="G62" i="9"/>
  <c r="G62" i="14" s="1"/>
  <c r="G63" i="9"/>
  <c r="G63" i="14" s="1"/>
  <c r="G64" i="9"/>
  <c r="G64" i="14" s="1"/>
  <c r="G65" i="9"/>
  <c r="G65" i="14" s="1"/>
  <c r="G66" i="9"/>
  <c r="G66" i="14" s="1"/>
  <c r="G67" i="9"/>
  <c r="G67" i="14" s="1"/>
  <c r="G68" i="9"/>
  <c r="G68" i="14" s="1"/>
  <c r="G69" i="9"/>
  <c r="G69" i="14" s="1"/>
  <c r="G70" i="9"/>
  <c r="G70" i="14" s="1"/>
  <c r="G71" i="9"/>
  <c r="G71" i="14" s="1"/>
  <c r="G72" i="9"/>
  <c r="G72" i="14" s="1"/>
  <c r="G73" i="9"/>
  <c r="G73" i="14" s="1"/>
  <c r="G74" i="9"/>
  <c r="G74" i="14" s="1"/>
  <c r="G75" i="9"/>
  <c r="G75" i="14" s="1"/>
  <c r="G76" i="9"/>
  <c r="G76" i="14" s="1"/>
  <c r="G77" i="9"/>
  <c r="G77" i="14" s="1"/>
  <c r="G78" i="9"/>
  <c r="G78" i="14" s="1"/>
  <c r="G79" i="9"/>
  <c r="G79" i="14" s="1"/>
  <c r="G80" i="9"/>
  <c r="G80" i="14" s="1"/>
  <c r="G81" i="9"/>
  <c r="G81" i="14" s="1"/>
  <c r="G82" i="9"/>
  <c r="G82" i="14" s="1"/>
  <c r="G83" i="9"/>
  <c r="G83" i="14" s="1"/>
  <c r="G84" i="9"/>
  <c r="G84" i="14" s="1"/>
  <c r="G85" i="9"/>
  <c r="G85" i="14" s="1"/>
  <c r="G86" i="9"/>
  <c r="G86" i="14" s="1"/>
  <c r="G87" i="9"/>
  <c r="G87" i="14" s="1"/>
  <c r="G89" i="9"/>
  <c r="G89" i="14" s="1"/>
  <c r="G90" i="9"/>
  <c r="G90" i="14" s="1"/>
  <c r="G91" i="9"/>
  <c r="G91" i="14" s="1"/>
  <c r="G92" i="9"/>
  <c r="G92" i="14" s="1"/>
  <c r="G93" i="9"/>
  <c r="G93" i="14" s="1"/>
  <c r="G94" i="9"/>
  <c r="G94" i="14" s="1"/>
  <c r="G95" i="9"/>
  <c r="G95" i="14" s="1"/>
  <c r="G96" i="9"/>
  <c r="G96" i="14" s="1"/>
  <c r="G97" i="9"/>
  <c r="G97" i="14" s="1"/>
  <c r="G98" i="9"/>
  <c r="G98" i="14" s="1"/>
  <c r="G99" i="9"/>
  <c r="G99" i="14" s="1"/>
  <c r="G100" i="9"/>
  <c r="G100" i="14" s="1"/>
  <c r="G101" i="9"/>
  <c r="G101" i="14" s="1"/>
  <c r="G102" i="9"/>
  <c r="G102" i="14" s="1"/>
  <c r="G103" i="9"/>
  <c r="G103" i="14" s="1"/>
  <c r="G104" i="9"/>
  <c r="G104" i="14" s="1"/>
  <c r="G105" i="9"/>
  <c r="G105" i="14" s="1"/>
  <c r="G106" i="9"/>
  <c r="G106" i="14" s="1"/>
  <c r="G107" i="9"/>
  <c r="G107" i="14" s="1"/>
  <c r="G108" i="9"/>
  <c r="G108" i="14" s="1"/>
  <c r="G109" i="9"/>
  <c r="G109" i="14" s="1"/>
  <c r="G110" i="9"/>
  <c r="G110" i="14" s="1"/>
  <c r="G111" i="9"/>
  <c r="G111" i="14" s="1"/>
  <c r="G112" i="9"/>
  <c r="G112" i="14" s="1"/>
  <c r="G113" i="9"/>
  <c r="G113" i="14" s="1"/>
  <c r="G114" i="9"/>
  <c r="G114" i="14" s="1"/>
  <c r="G115" i="9"/>
  <c r="G115" i="14" s="1"/>
  <c r="G116" i="9"/>
  <c r="G116" i="14" s="1"/>
  <c r="G117" i="9"/>
  <c r="G117" i="14" s="1"/>
  <c r="G118" i="9"/>
  <c r="G118" i="14" s="1"/>
  <c r="G119" i="9"/>
  <c r="G119" i="14" s="1"/>
  <c r="G120" i="9"/>
  <c r="G120" i="14" s="1"/>
  <c r="G121" i="9"/>
  <c r="G121" i="14" s="1"/>
  <c r="G122" i="9"/>
  <c r="G122" i="14" s="1"/>
  <c r="G123" i="9"/>
  <c r="G123" i="14" s="1"/>
  <c r="G124" i="9"/>
  <c r="G124" i="14" s="1"/>
  <c r="G7" i="9"/>
  <c r="G7" i="14" s="1"/>
  <c r="F8" i="9"/>
  <c r="F8" i="14" s="1"/>
  <c r="F9" i="9"/>
  <c r="F9" i="14" s="1"/>
  <c r="F10" i="9"/>
  <c r="F10" i="14" s="1"/>
  <c r="F11" i="9"/>
  <c r="F11" i="14" s="1"/>
  <c r="F12" i="9"/>
  <c r="F12" i="14" s="1"/>
  <c r="F13" i="9"/>
  <c r="F13" i="14" s="1"/>
  <c r="F14" i="9"/>
  <c r="F14" i="14" s="1"/>
  <c r="F15" i="9"/>
  <c r="F15" i="14" s="1"/>
  <c r="F16" i="9"/>
  <c r="F16" i="14" s="1"/>
  <c r="F17" i="9"/>
  <c r="F17" i="14" s="1"/>
  <c r="F18" i="9"/>
  <c r="F18" i="14" s="1"/>
  <c r="F19" i="9"/>
  <c r="F19" i="14" s="1"/>
  <c r="F20" i="9"/>
  <c r="F20" i="14" s="1"/>
  <c r="F21" i="9"/>
  <c r="F21" i="14" s="1"/>
  <c r="F22" i="9"/>
  <c r="F22" i="14" s="1"/>
  <c r="F23" i="9"/>
  <c r="F23" i="14" s="1"/>
  <c r="F24" i="9"/>
  <c r="F25" i="9"/>
  <c r="F25" i="14" s="1"/>
  <c r="F26" i="9"/>
  <c r="F26" i="14" s="1"/>
  <c r="F27" i="9"/>
  <c r="F27" i="14" s="1"/>
  <c r="F28" i="9"/>
  <c r="F28" i="14" s="1"/>
  <c r="F29" i="9"/>
  <c r="F29" i="14" s="1"/>
  <c r="F30" i="9"/>
  <c r="F30" i="14" s="1"/>
  <c r="F31" i="9"/>
  <c r="F31" i="14" s="1"/>
  <c r="F32" i="9"/>
  <c r="F32" i="14" s="1"/>
  <c r="F33" i="9"/>
  <c r="F33" i="14" s="1"/>
  <c r="F34" i="9"/>
  <c r="F34" i="14" s="1"/>
  <c r="F35" i="9"/>
  <c r="F36" i="9"/>
  <c r="F36" i="14" s="1"/>
  <c r="F37" i="9"/>
  <c r="F37" i="14" s="1"/>
  <c r="F38" i="9"/>
  <c r="F38" i="14" s="1"/>
  <c r="F39" i="9"/>
  <c r="F39" i="14" s="1"/>
  <c r="F40" i="9"/>
  <c r="F40" i="14" s="1"/>
  <c r="F41" i="9"/>
  <c r="F41" i="14" s="1"/>
  <c r="F42" i="9"/>
  <c r="F42" i="14" s="1"/>
  <c r="F43" i="9"/>
  <c r="F43" i="14" s="1"/>
  <c r="F44" i="9"/>
  <c r="F44" i="14" s="1"/>
  <c r="F45" i="9"/>
  <c r="F45" i="14" s="1"/>
  <c r="F46" i="9"/>
  <c r="F47" i="9"/>
  <c r="F47" i="14" s="1"/>
  <c r="F48" i="9"/>
  <c r="F48" i="14" s="1"/>
  <c r="F49" i="9"/>
  <c r="F49" i="14" s="1"/>
  <c r="F50" i="9"/>
  <c r="F50" i="14" s="1"/>
  <c r="F51" i="9"/>
  <c r="F51" i="14" s="1"/>
  <c r="F52" i="9"/>
  <c r="F52" i="14" s="1"/>
  <c r="F53" i="9"/>
  <c r="F53" i="14" s="1"/>
  <c r="F54" i="9"/>
  <c r="F54" i="14" s="1"/>
  <c r="F55" i="9"/>
  <c r="F55" i="14" s="1"/>
  <c r="F56" i="9"/>
  <c r="F56" i="14" s="1"/>
  <c r="F57" i="9"/>
  <c r="F57" i="14" s="1"/>
  <c r="F58" i="9"/>
  <c r="F59" i="9"/>
  <c r="F59" i="14" s="1"/>
  <c r="F60" i="9"/>
  <c r="F60" i="14" s="1"/>
  <c r="F61" i="9"/>
  <c r="F61" i="14" s="1"/>
  <c r="F62" i="9"/>
  <c r="F62" i="14" s="1"/>
  <c r="F63" i="9"/>
  <c r="F63" i="14" s="1"/>
  <c r="F64" i="9"/>
  <c r="F64" i="14" s="1"/>
  <c r="F65" i="9"/>
  <c r="F65" i="14" s="1"/>
  <c r="F66" i="9"/>
  <c r="F66" i="14" s="1"/>
  <c r="F67" i="9"/>
  <c r="F67" i="14" s="1"/>
  <c r="F68" i="9"/>
  <c r="F68" i="14" s="1"/>
  <c r="F69" i="9"/>
  <c r="F69" i="14" s="1"/>
  <c r="F70" i="9"/>
  <c r="F71" i="9"/>
  <c r="F71" i="14" s="1"/>
  <c r="F72" i="9"/>
  <c r="F72" i="14" s="1"/>
  <c r="F73" i="9"/>
  <c r="F73" i="14" s="1"/>
  <c r="F74" i="9"/>
  <c r="F74" i="14" s="1"/>
  <c r="F75" i="9"/>
  <c r="F75" i="14" s="1"/>
  <c r="F76" i="9"/>
  <c r="F76" i="14" s="1"/>
  <c r="F77" i="9"/>
  <c r="F77" i="14" s="1"/>
  <c r="F78" i="9"/>
  <c r="F78" i="14" s="1"/>
  <c r="F79" i="9"/>
  <c r="F79" i="14" s="1"/>
  <c r="F80" i="9"/>
  <c r="F80" i="14" s="1"/>
  <c r="F81" i="9"/>
  <c r="F81" i="14" s="1"/>
  <c r="F82" i="9"/>
  <c r="F83" i="9"/>
  <c r="F83" i="14" s="1"/>
  <c r="F84" i="9"/>
  <c r="F84" i="14" s="1"/>
  <c r="F85" i="9"/>
  <c r="F85" i="14" s="1"/>
  <c r="F86" i="9"/>
  <c r="F86" i="14" s="1"/>
  <c r="F87" i="9"/>
  <c r="F87" i="14" s="1"/>
  <c r="F89" i="9"/>
  <c r="F89" i="14" s="1"/>
  <c r="F90" i="9"/>
  <c r="F90" i="14" s="1"/>
  <c r="F91" i="9"/>
  <c r="F91" i="14" s="1"/>
  <c r="F92" i="9"/>
  <c r="F92" i="14" s="1"/>
  <c r="F93" i="9"/>
  <c r="F93" i="14" s="1"/>
  <c r="F94" i="9"/>
  <c r="F94" i="14" s="1"/>
  <c r="F95" i="9"/>
  <c r="F96" i="9"/>
  <c r="F96" i="14" s="1"/>
  <c r="F97" i="9"/>
  <c r="F97" i="14" s="1"/>
  <c r="F98" i="9"/>
  <c r="F98" i="14" s="1"/>
  <c r="F99" i="9"/>
  <c r="F99" i="14" s="1"/>
  <c r="F100" i="9"/>
  <c r="F100" i="14" s="1"/>
  <c r="F101" i="9"/>
  <c r="F101" i="14" s="1"/>
  <c r="F102" i="9"/>
  <c r="F102" i="14" s="1"/>
  <c r="F103" i="9"/>
  <c r="F103" i="14" s="1"/>
  <c r="F104" i="9"/>
  <c r="F105" i="9"/>
  <c r="F105" i="14" s="1"/>
  <c r="F106" i="9"/>
  <c r="F106" i="14" s="1"/>
  <c r="F107" i="9"/>
  <c r="F107" i="14" s="1"/>
  <c r="F108" i="9"/>
  <c r="F109" i="9"/>
  <c r="F109" i="14" s="1"/>
  <c r="F110" i="9"/>
  <c r="F110" i="14" s="1"/>
  <c r="F111" i="9"/>
  <c r="F111" i="14" s="1"/>
  <c r="F112" i="9"/>
  <c r="F112" i="14" s="1"/>
  <c r="F113" i="9"/>
  <c r="F113" i="14" s="1"/>
  <c r="F114" i="9"/>
  <c r="F114" i="14" s="1"/>
  <c r="F115" i="9"/>
  <c r="F115" i="14" s="1"/>
  <c r="F116" i="9"/>
  <c r="F116" i="14" s="1"/>
  <c r="F117" i="9"/>
  <c r="F117" i="14" s="1"/>
  <c r="F118" i="9"/>
  <c r="F118" i="14" s="1"/>
  <c r="F119" i="9"/>
  <c r="F120" i="9"/>
  <c r="F120" i="14" s="1"/>
  <c r="F121" i="9"/>
  <c r="F121" i="14" s="1"/>
  <c r="F122" i="9"/>
  <c r="F122" i="14" s="1"/>
  <c r="F123" i="9"/>
  <c r="F123" i="14" s="1"/>
  <c r="F124" i="9"/>
  <c r="F124" i="14" s="1"/>
  <c r="F7" i="9"/>
  <c r="F7" i="14" s="1"/>
  <c r="D8" i="9"/>
  <c r="D8" i="14" s="1"/>
  <c r="D9" i="9"/>
  <c r="D9" i="14" s="1"/>
  <c r="D10" i="9"/>
  <c r="D10" i="14" s="1"/>
  <c r="D11" i="9"/>
  <c r="D11" i="14" s="1"/>
  <c r="D12" i="9"/>
  <c r="D12" i="14" s="1"/>
  <c r="D13" i="9"/>
  <c r="D13" i="14" s="1"/>
  <c r="D14" i="9"/>
  <c r="D14" i="14" s="1"/>
  <c r="D15" i="9"/>
  <c r="D15" i="14" s="1"/>
  <c r="D16" i="9"/>
  <c r="D16" i="14" s="1"/>
  <c r="D17" i="9"/>
  <c r="D17" i="14" s="1"/>
  <c r="D18" i="9"/>
  <c r="D18" i="14" s="1"/>
  <c r="D19" i="9"/>
  <c r="D19" i="14" s="1"/>
  <c r="D20" i="9"/>
  <c r="D20" i="14" s="1"/>
  <c r="D21" i="9"/>
  <c r="D21" i="14" s="1"/>
  <c r="D22" i="9"/>
  <c r="D22" i="14" s="1"/>
  <c r="D23" i="9"/>
  <c r="D23" i="14" s="1"/>
  <c r="D24" i="9"/>
  <c r="D24" i="14" s="1"/>
  <c r="D25" i="9"/>
  <c r="D25" i="14" s="1"/>
  <c r="D26" i="9"/>
  <c r="D27" i="9"/>
  <c r="D27" i="14" s="1"/>
  <c r="D28" i="9"/>
  <c r="D28" i="14" s="1"/>
  <c r="D29" i="9"/>
  <c r="D29" i="14" s="1"/>
  <c r="D30" i="9"/>
  <c r="D30" i="14" s="1"/>
  <c r="D31" i="9"/>
  <c r="D31" i="14" s="1"/>
  <c r="D32" i="9"/>
  <c r="D32" i="14" s="1"/>
  <c r="D33" i="9"/>
  <c r="D33" i="14" s="1"/>
  <c r="D34" i="9"/>
  <c r="D34" i="14" s="1"/>
  <c r="D35" i="9"/>
  <c r="D35" i="14" s="1"/>
  <c r="D36" i="9"/>
  <c r="D36" i="14" s="1"/>
  <c r="D37" i="9"/>
  <c r="D37" i="14" s="1"/>
  <c r="D38" i="9"/>
  <c r="D38" i="14" s="1"/>
  <c r="D39" i="9"/>
  <c r="D39" i="14" s="1"/>
  <c r="D40" i="9"/>
  <c r="D40" i="14" s="1"/>
  <c r="D41" i="9"/>
  <c r="D41" i="14" s="1"/>
  <c r="D42" i="9"/>
  <c r="D42" i="14" s="1"/>
  <c r="D43" i="9"/>
  <c r="D43" i="14" s="1"/>
  <c r="D44" i="9"/>
  <c r="D44" i="14" s="1"/>
  <c r="D45" i="9"/>
  <c r="D45" i="14" s="1"/>
  <c r="D46" i="9"/>
  <c r="D46" i="14" s="1"/>
  <c r="D47" i="9"/>
  <c r="D47" i="14" s="1"/>
  <c r="D48" i="9"/>
  <c r="D48" i="14" s="1"/>
  <c r="D49" i="9"/>
  <c r="D49" i="14" s="1"/>
  <c r="D50" i="9"/>
  <c r="D50" i="14" s="1"/>
  <c r="D51" i="9"/>
  <c r="D51" i="14" s="1"/>
  <c r="D52" i="9"/>
  <c r="D52" i="14" s="1"/>
  <c r="D53" i="9"/>
  <c r="D53" i="14" s="1"/>
  <c r="D54" i="9"/>
  <c r="D54" i="14" s="1"/>
  <c r="D55" i="9"/>
  <c r="D55" i="14" s="1"/>
  <c r="D56" i="9"/>
  <c r="D56" i="14" s="1"/>
  <c r="D57" i="9"/>
  <c r="D57" i="14" s="1"/>
  <c r="D58" i="9"/>
  <c r="D58" i="14" s="1"/>
  <c r="D59" i="9"/>
  <c r="D59" i="14" s="1"/>
  <c r="D60" i="9"/>
  <c r="D60" i="14" s="1"/>
  <c r="D61" i="9"/>
  <c r="D61" i="14" s="1"/>
  <c r="D62" i="9"/>
  <c r="D62" i="14" s="1"/>
  <c r="D63" i="9"/>
  <c r="D63" i="14" s="1"/>
  <c r="D64" i="9"/>
  <c r="D64" i="14" s="1"/>
  <c r="D65" i="9"/>
  <c r="D65" i="14" s="1"/>
  <c r="D66" i="9"/>
  <c r="D66" i="14" s="1"/>
  <c r="D67" i="9"/>
  <c r="D67" i="14" s="1"/>
  <c r="D68" i="9"/>
  <c r="D68" i="14" s="1"/>
  <c r="D69" i="9"/>
  <c r="D69" i="14" s="1"/>
  <c r="D70" i="9"/>
  <c r="D70" i="14" s="1"/>
  <c r="D71" i="9"/>
  <c r="D71" i="14" s="1"/>
  <c r="D72" i="9"/>
  <c r="D72" i="14" s="1"/>
  <c r="D73" i="9"/>
  <c r="D73" i="14" s="1"/>
  <c r="D74" i="9"/>
  <c r="D74" i="14" s="1"/>
  <c r="D75" i="9"/>
  <c r="D75" i="14" s="1"/>
  <c r="D76" i="9"/>
  <c r="D76" i="14" s="1"/>
  <c r="D77" i="9"/>
  <c r="D77" i="14" s="1"/>
  <c r="D78" i="9"/>
  <c r="D78" i="14" s="1"/>
  <c r="D79" i="9"/>
  <c r="D79" i="14" s="1"/>
  <c r="D80" i="9"/>
  <c r="D80" i="14" s="1"/>
  <c r="D81" i="9"/>
  <c r="D81" i="14" s="1"/>
  <c r="D82" i="9"/>
  <c r="D82" i="14" s="1"/>
  <c r="D83" i="9"/>
  <c r="D83" i="14" s="1"/>
  <c r="D84" i="9"/>
  <c r="D84" i="14" s="1"/>
  <c r="D85" i="9"/>
  <c r="D85" i="14" s="1"/>
  <c r="D86" i="9"/>
  <c r="D86" i="14" s="1"/>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7" i="9"/>
  <c r="D7" i="14" s="1"/>
  <c r="C13" i="9"/>
  <c r="C13" i="14" s="1"/>
  <c r="C14" i="9"/>
  <c r="C14" i="14" s="1"/>
  <c r="C15" i="9"/>
  <c r="C15" i="14" s="1"/>
  <c r="C16" i="9"/>
  <c r="C16" i="14" s="1"/>
  <c r="C17" i="9"/>
  <c r="C17" i="14" s="1"/>
  <c r="C18" i="9"/>
  <c r="C18" i="14" s="1"/>
  <c r="C19" i="9"/>
  <c r="C19" i="14" s="1"/>
  <c r="C20" i="9"/>
  <c r="C20" i="14" s="1"/>
  <c r="C21" i="9"/>
  <c r="C21" i="14" s="1"/>
  <c r="C22" i="9"/>
  <c r="C22" i="14" s="1"/>
  <c r="C23" i="9"/>
  <c r="C23" i="14" s="1"/>
  <c r="C24" i="9"/>
  <c r="C24" i="14" s="1"/>
  <c r="C25" i="9"/>
  <c r="C25" i="14" s="1"/>
  <c r="C26" i="14"/>
  <c r="C27" i="9"/>
  <c r="C27" i="14" s="1"/>
  <c r="C28" i="9"/>
  <c r="C28" i="14" s="1"/>
  <c r="C29" i="9"/>
  <c r="C29" i="14" s="1"/>
  <c r="C30" i="9"/>
  <c r="C31" i="9"/>
  <c r="C31" i="14" s="1"/>
  <c r="C32" i="9"/>
  <c r="C32" i="14" s="1"/>
  <c r="C33" i="9"/>
  <c r="C33" i="14" s="1"/>
  <c r="C34" i="9"/>
  <c r="C34" i="14" s="1"/>
  <c r="C35" i="9"/>
  <c r="C35" i="14" s="1"/>
  <c r="C36" i="9"/>
  <c r="C36" i="14" s="1"/>
  <c r="C37" i="9"/>
  <c r="C37" i="14" s="1"/>
  <c r="C38" i="9"/>
  <c r="C38" i="14" s="1"/>
  <c r="C39" i="9"/>
  <c r="C39" i="14" s="1"/>
  <c r="C40" i="9"/>
  <c r="C40" i="14" s="1"/>
  <c r="C41" i="9"/>
  <c r="C41" i="14" s="1"/>
  <c r="C42" i="9"/>
  <c r="C43" i="9"/>
  <c r="C43" i="14" s="1"/>
  <c r="C44" i="9"/>
  <c r="C44" i="14" s="1"/>
  <c r="C45" i="9"/>
  <c r="C45" i="14" s="1"/>
  <c r="C46" i="9"/>
  <c r="C46" i="14" s="1"/>
  <c r="C47" i="9"/>
  <c r="C47" i="14" s="1"/>
  <c r="C48" i="9"/>
  <c r="C48" i="14" s="1"/>
  <c r="C49" i="9"/>
  <c r="C49" i="14" s="1"/>
  <c r="C50" i="9"/>
  <c r="C50" i="14" s="1"/>
  <c r="C51" i="9"/>
  <c r="C51" i="14" s="1"/>
  <c r="C52" i="9"/>
  <c r="C52" i="14" s="1"/>
  <c r="C53" i="9"/>
  <c r="C54" i="9"/>
  <c r="C54" i="14" s="1"/>
  <c r="C55" i="9"/>
  <c r="C55" i="14" s="1"/>
  <c r="C56" i="9"/>
  <c r="C56" i="14" s="1"/>
  <c r="C57" i="9"/>
  <c r="C57" i="14" s="1"/>
  <c r="C58" i="9"/>
  <c r="C58" i="14" s="1"/>
  <c r="C59" i="9"/>
  <c r="C59" i="14" s="1"/>
  <c r="C60" i="9"/>
  <c r="C60" i="14" s="1"/>
  <c r="C61" i="9"/>
  <c r="C61" i="14" s="1"/>
  <c r="C62" i="9"/>
  <c r="C62" i="14" s="1"/>
  <c r="C63" i="9"/>
  <c r="C63" i="14" s="1"/>
  <c r="C64" i="9"/>
  <c r="C64" i="14" s="1"/>
  <c r="C65" i="9"/>
  <c r="C66" i="9"/>
  <c r="C66" i="14" s="1"/>
  <c r="C67" i="9"/>
  <c r="C67" i="14" s="1"/>
  <c r="C68" i="9"/>
  <c r="C68" i="14" s="1"/>
  <c r="C69" i="9"/>
  <c r="C69" i="14" s="1"/>
  <c r="C70" i="9"/>
  <c r="C70" i="14" s="1"/>
  <c r="C71" i="9"/>
  <c r="C71" i="14" s="1"/>
  <c r="C72" i="9"/>
  <c r="C72" i="14" s="1"/>
  <c r="C73" i="9"/>
  <c r="C73" i="14" s="1"/>
  <c r="C74" i="9"/>
  <c r="C74" i="14" s="1"/>
  <c r="C75" i="9"/>
  <c r="C75" i="14" s="1"/>
  <c r="C76" i="9"/>
  <c r="C76" i="14" s="1"/>
  <c r="C77" i="9"/>
  <c r="C77" i="14" s="1"/>
  <c r="C78" i="9"/>
  <c r="C78" i="14" s="1"/>
  <c r="C79" i="9"/>
  <c r="C79" i="14" s="1"/>
  <c r="C80" i="9"/>
  <c r="C80" i="14" s="1"/>
  <c r="C81" i="9"/>
  <c r="C81" i="14" s="1"/>
  <c r="C82" i="9"/>
  <c r="C82" i="14" s="1"/>
  <c r="C83" i="9"/>
  <c r="C83" i="14" s="1"/>
  <c r="C84" i="9"/>
  <c r="C84" i="14" s="1"/>
  <c r="C85" i="9"/>
  <c r="C85" i="14" s="1"/>
  <c r="C86" i="9"/>
  <c r="C86" i="14" s="1"/>
  <c r="C87" i="9"/>
  <c r="C87" i="14" s="1"/>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1" i="9"/>
  <c r="C122" i="9"/>
  <c r="C123" i="9"/>
  <c r="C124" i="9"/>
  <c r="C11" i="9"/>
  <c r="C11" i="14" s="1"/>
  <c r="C10" i="9"/>
  <c r="C10" i="14" s="1"/>
  <c r="C9" i="9"/>
  <c r="C9" i="14" s="1"/>
  <c r="C8" i="9"/>
  <c r="C8" i="14" s="1"/>
  <c r="C7" i="9"/>
  <c r="C7" i="14" s="1"/>
  <c r="C12" i="9"/>
  <c r="C12" i="14" s="1"/>
  <c r="O107" i="14" l="1"/>
  <c r="P107" i="9"/>
  <c r="D26" i="14"/>
  <c r="E26" i="9"/>
  <c r="H119" i="9"/>
  <c r="H119" i="14" s="1"/>
  <c r="F119" i="14"/>
  <c r="H108" i="9"/>
  <c r="H108" i="14" s="1"/>
  <c r="F108" i="14"/>
  <c r="H104" i="9"/>
  <c r="H104" i="14" s="1"/>
  <c r="F104" i="14"/>
  <c r="H95" i="9"/>
  <c r="H95" i="14" s="1"/>
  <c r="F95" i="14"/>
  <c r="H82" i="9"/>
  <c r="H82" i="14" s="1"/>
  <c r="F82" i="14"/>
  <c r="H70" i="9"/>
  <c r="H70" i="14" s="1"/>
  <c r="F70" i="14"/>
  <c r="H58" i="9"/>
  <c r="H58" i="14" s="1"/>
  <c r="F58" i="14"/>
  <c r="H46" i="9"/>
  <c r="H46" i="14" s="1"/>
  <c r="F46" i="14"/>
  <c r="H35" i="9"/>
  <c r="H35" i="14" s="1"/>
  <c r="F35" i="14"/>
  <c r="H24" i="9"/>
  <c r="H24" i="14" s="1"/>
  <c r="F24" i="14"/>
  <c r="E21" i="14"/>
  <c r="E7" i="14"/>
  <c r="E80" i="14"/>
  <c r="E8" i="14"/>
  <c r="E9" i="14"/>
  <c r="E78" i="14"/>
  <c r="E66" i="14"/>
  <c r="E54" i="14"/>
  <c r="M42" i="9"/>
  <c r="M42" i="14" s="1"/>
  <c r="C42" i="14"/>
  <c r="M30" i="9"/>
  <c r="M30" i="14" s="1"/>
  <c r="C30" i="14"/>
  <c r="E19" i="14"/>
  <c r="E11" i="14"/>
  <c r="E12" i="14"/>
  <c r="E10" i="14"/>
  <c r="E77" i="14"/>
  <c r="M65" i="9"/>
  <c r="M65" i="14" s="1"/>
  <c r="C65" i="14"/>
  <c r="M53" i="9"/>
  <c r="M53" i="14" s="1"/>
  <c r="C53" i="14"/>
  <c r="E41" i="14"/>
  <c r="E29" i="14"/>
  <c r="Q29" i="14" s="1"/>
  <c r="E18" i="14"/>
  <c r="E76" i="14"/>
  <c r="E64" i="14"/>
  <c r="E52" i="14"/>
  <c r="E40" i="14"/>
  <c r="E28" i="14"/>
  <c r="E17" i="14"/>
  <c r="E75" i="14"/>
  <c r="E63" i="14"/>
  <c r="E51" i="14"/>
  <c r="E39" i="14"/>
  <c r="E27" i="14"/>
  <c r="E16" i="14"/>
  <c r="E86" i="14"/>
  <c r="E74" i="14"/>
  <c r="E62" i="14"/>
  <c r="E50" i="14"/>
  <c r="E38" i="14"/>
  <c r="E15" i="14"/>
  <c r="E85" i="14"/>
  <c r="E73" i="14"/>
  <c r="E61" i="14"/>
  <c r="E49" i="14"/>
  <c r="E37" i="14"/>
  <c r="E25" i="14"/>
  <c r="E14" i="14"/>
  <c r="E84" i="14"/>
  <c r="E72" i="14"/>
  <c r="E60" i="14"/>
  <c r="E48" i="14"/>
  <c r="E36" i="14"/>
  <c r="E24" i="14"/>
  <c r="E13" i="14"/>
  <c r="E71" i="14"/>
  <c r="E59" i="14"/>
  <c r="E47" i="14"/>
  <c r="E35" i="14"/>
  <c r="E23" i="14"/>
  <c r="E70" i="14"/>
  <c r="E58" i="14"/>
  <c r="E46" i="14"/>
  <c r="E34" i="14"/>
  <c r="E22" i="14"/>
  <c r="E57" i="14"/>
  <c r="E33" i="14"/>
  <c r="E87" i="14"/>
  <c r="E83" i="14"/>
  <c r="E69" i="14"/>
  <c r="E68" i="14"/>
  <c r="E56" i="14"/>
  <c r="E44" i="14"/>
  <c r="E32" i="14"/>
  <c r="E20" i="14"/>
  <c r="E82" i="14"/>
  <c r="E81" i="14"/>
  <c r="E45" i="14"/>
  <c r="E79" i="14"/>
  <c r="E67" i="14"/>
  <c r="E55" i="14"/>
  <c r="E43" i="14"/>
  <c r="E31" i="14"/>
  <c r="H115" i="9"/>
  <c r="H115" i="14" s="1"/>
  <c r="H28" i="9"/>
  <c r="H28" i="14" s="1"/>
  <c r="H100" i="9"/>
  <c r="H100" i="14" s="1"/>
  <c r="H39" i="9"/>
  <c r="H39" i="14" s="1"/>
  <c r="H16" i="9"/>
  <c r="H16" i="14" s="1"/>
  <c r="H91" i="9"/>
  <c r="H91" i="14" s="1"/>
  <c r="H86" i="9"/>
  <c r="H86" i="14" s="1"/>
  <c r="H74" i="9"/>
  <c r="H74" i="14" s="1"/>
  <c r="H62" i="9"/>
  <c r="H62" i="14" s="1"/>
  <c r="H50" i="9"/>
  <c r="H50" i="14" s="1"/>
  <c r="H66" i="9"/>
  <c r="H66" i="14" s="1"/>
  <c r="H78" i="9"/>
  <c r="H78" i="14" s="1"/>
  <c r="E9" i="9"/>
  <c r="E116" i="9"/>
  <c r="E105" i="9"/>
  <c r="E96" i="9"/>
  <c r="E83" i="9"/>
  <c r="E71" i="9"/>
  <c r="E59" i="9"/>
  <c r="E47" i="9"/>
  <c r="E36" i="9"/>
  <c r="E25" i="9"/>
  <c r="H124" i="9"/>
  <c r="H124" i="14" s="1"/>
  <c r="H112" i="9"/>
  <c r="H112" i="14" s="1"/>
  <c r="H101" i="9"/>
  <c r="H101" i="14" s="1"/>
  <c r="H92" i="9"/>
  <c r="H92" i="14" s="1"/>
  <c r="H79" i="9"/>
  <c r="H79" i="14" s="1"/>
  <c r="H67" i="9"/>
  <c r="H67" i="14" s="1"/>
  <c r="H55" i="9"/>
  <c r="H55" i="14" s="1"/>
  <c r="H43" i="9"/>
  <c r="H43" i="14" s="1"/>
  <c r="H32" i="9"/>
  <c r="H32" i="14" s="1"/>
  <c r="H21" i="9"/>
  <c r="H21" i="14" s="1"/>
  <c r="H14" i="9"/>
  <c r="H14" i="14" s="1"/>
  <c r="E124" i="9"/>
  <c r="E112" i="9"/>
  <c r="E101" i="9"/>
  <c r="E92" i="9"/>
  <c r="H118" i="9"/>
  <c r="H118" i="14" s="1"/>
  <c r="H107" i="9"/>
  <c r="H107" i="14" s="1"/>
  <c r="H98" i="9"/>
  <c r="H98" i="14" s="1"/>
  <c r="H85" i="9"/>
  <c r="H85" i="14" s="1"/>
  <c r="H73" i="9"/>
  <c r="H73" i="14" s="1"/>
  <c r="H61" i="9"/>
  <c r="H61" i="14" s="1"/>
  <c r="H49" i="9"/>
  <c r="H49" i="14" s="1"/>
  <c r="H38" i="9"/>
  <c r="H38" i="14" s="1"/>
  <c r="H27" i="9"/>
  <c r="H27" i="14" s="1"/>
  <c r="H18" i="9"/>
  <c r="H18" i="14" s="1"/>
  <c r="H12" i="9"/>
  <c r="H12" i="14" s="1"/>
  <c r="E63" i="9"/>
  <c r="E51" i="9"/>
  <c r="E40" i="9"/>
  <c r="E29" i="9"/>
  <c r="E13" i="9"/>
  <c r="E79" i="9"/>
  <c r="E67" i="9"/>
  <c r="E55" i="9"/>
  <c r="E43" i="9"/>
  <c r="E32" i="9"/>
  <c r="E21" i="9"/>
  <c r="E14" i="9"/>
  <c r="H114" i="9"/>
  <c r="H114" i="14" s="1"/>
  <c r="H103" i="9"/>
  <c r="H103" i="14" s="1"/>
  <c r="H94" i="9"/>
  <c r="H94" i="14" s="1"/>
  <c r="H81" i="9"/>
  <c r="H81" i="14" s="1"/>
  <c r="H69" i="9"/>
  <c r="H69" i="14" s="1"/>
  <c r="H57" i="9"/>
  <c r="H57" i="14" s="1"/>
  <c r="H45" i="9"/>
  <c r="H45" i="14" s="1"/>
  <c r="H34" i="9"/>
  <c r="H34" i="14" s="1"/>
  <c r="H23" i="9"/>
  <c r="H23" i="14" s="1"/>
  <c r="H15" i="9"/>
  <c r="H15" i="14" s="1"/>
  <c r="H9" i="9"/>
  <c r="H9" i="14" s="1"/>
  <c r="H117" i="9"/>
  <c r="H117" i="14" s="1"/>
  <c r="H106" i="9"/>
  <c r="H106" i="14" s="1"/>
  <c r="H97" i="9"/>
  <c r="H97" i="14" s="1"/>
  <c r="H84" i="9"/>
  <c r="H84" i="14" s="1"/>
  <c r="H72" i="9"/>
  <c r="H72" i="14" s="1"/>
  <c r="H60" i="9"/>
  <c r="H60" i="14" s="1"/>
  <c r="H48" i="9"/>
  <c r="H48" i="14" s="1"/>
  <c r="H37" i="9"/>
  <c r="H37" i="14" s="1"/>
  <c r="H26" i="9"/>
  <c r="H26" i="14" s="1"/>
  <c r="H17" i="9"/>
  <c r="H17" i="14" s="1"/>
  <c r="H11" i="9"/>
  <c r="H11" i="14" s="1"/>
  <c r="E115" i="9"/>
  <c r="E104" i="9"/>
  <c r="E95" i="9"/>
  <c r="E82" i="9"/>
  <c r="E70" i="9"/>
  <c r="E58" i="9"/>
  <c r="E46" i="9"/>
  <c r="E35" i="9"/>
  <c r="E24" i="9"/>
  <c r="E16" i="9"/>
  <c r="H122" i="9"/>
  <c r="H122" i="14" s="1"/>
  <c r="H110" i="9"/>
  <c r="H110" i="14" s="1"/>
  <c r="H99" i="9"/>
  <c r="H99" i="14" s="1"/>
  <c r="Q99" i="14" s="1"/>
  <c r="H90" i="9"/>
  <c r="H77" i="9"/>
  <c r="H77" i="14" s="1"/>
  <c r="H65" i="9"/>
  <c r="H65" i="14" s="1"/>
  <c r="H53" i="9"/>
  <c r="H53" i="14" s="1"/>
  <c r="H42" i="9"/>
  <c r="H42" i="14" s="1"/>
  <c r="H30" i="9"/>
  <c r="H30" i="14" s="1"/>
  <c r="E87" i="9"/>
  <c r="E109" i="9"/>
  <c r="E108" i="9"/>
  <c r="E74" i="9"/>
  <c r="E50" i="9"/>
  <c r="E120" i="9"/>
  <c r="E75" i="9"/>
  <c r="E12" i="9"/>
  <c r="E119" i="9"/>
  <c r="E86" i="9"/>
  <c r="E62" i="9"/>
  <c r="E39" i="9"/>
  <c r="E28" i="9"/>
  <c r="E7" i="9"/>
  <c r="E118" i="9"/>
  <c r="E107" i="9"/>
  <c r="E98" i="9"/>
  <c r="E85" i="9"/>
  <c r="E73" i="9"/>
  <c r="E61" i="9"/>
  <c r="E49" i="9"/>
  <c r="E38" i="9"/>
  <c r="E27" i="9"/>
  <c r="E18" i="9"/>
  <c r="P73" i="9"/>
  <c r="P73" i="14" s="1"/>
  <c r="E10" i="9"/>
  <c r="E94" i="9"/>
  <c r="E57" i="9"/>
  <c r="P61" i="9"/>
  <c r="P61" i="14" s="1"/>
  <c r="P12" i="9"/>
  <c r="P12" i="14" s="1"/>
  <c r="E114" i="9"/>
  <c r="E103" i="9"/>
  <c r="E81" i="9"/>
  <c r="E69" i="9"/>
  <c r="E45" i="9"/>
  <c r="E34" i="9"/>
  <c r="E23" i="9"/>
  <c r="E15" i="9"/>
  <c r="E11" i="9"/>
  <c r="H120" i="9"/>
  <c r="H120" i="14" s="1"/>
  <c r="H109" i="9"/>
  <c r="H109" i="14" s="1"/>
  <c r="H87" i="9"/>
  <c r="H75" i="9"/>
  <c r="H75" i="14" s="1"/>
  <c r="H63" i="9"/>
  <c r="H63" i="14" s="1"/>
  <c r="H51" i="9"/>
  <c r="H51" i="14" s="1"/>
  <c r="H40" i="9"/>
  <c r="H40" i="14" s="1"/>
  <c r="H29" i="9"/>
  <c r="H29" i="14" s="1"/>
  <c r="H13" i="9"/>
  <c r="H13" i="14" s="1"/>
  <c r="P98" i="9"/>
  <c r="P98" i="14" s="1"/>
  <c r="P114" i="9"/>
  <c r="P114" i="14" s="1"/>
  <c r="P103" i="9"/>
  <c r="P103" i="14" s="1"/>
  <c r="P94" i="9"/>
  <c r="P94" i="14" s="1"/>
  <c r="P81" i="9"/>
  <c r="P81" i="14" s="1"/>
  <c r="P69" i="9"/>
  <c r="P69" i="14" s="1"/>
  <c r="P57" i="9"/>
  <c r="P57" i="14" s="1"/>
  <c r="P45" i="9"/>
  <c r="P45" i="14" s="1"/>
  <c r="P34" i="9"/>
  <c r="P34" i="14" s="1"/>
  <c r="P23" i="9"/>
  <c r="P23" i="14" s="1"/>
  <c r="P15" i="9"/>
  <c r="P15" i="14" s="1"/>
  <c r="P9" i="9"/>
  <c r="P9" i="14" s="1"/>
  <c r="P85" i="9"/>
  <c r="P85" i="14" s="1"/>
  <c r="P18" i="9"/>
  <c r="P18" i="14" s="1"/>
  <c r="E111" i="9"/>
  <c r="E100" i="9"/>
  <c r="E91" i="9"/>
  <c r="E78" i="9"/>
  <c r="E66" i="9"/>
  <c r="E54" i="9"/>
  <c r="E31" i="9"/>
  <c r="E20" i="9"/>
  <c r="P7" i="9"/>
  <c r="P113" i="9"/>
  <c r="P113" i="14" s="1"/>
  <c r="P102" i="9"/>
  <c r="P93" i="9"/>
  <c r="P93" i="14" s="1"/>
  <c r="P80" i="9"/>
  <c r="P80" i="14" s="1"/>
  <c r="P68" i="9"/>
  <c r="P68" i="14" s="1"/>
  <c r="P56" i="9"/>
  <c r="P56" i="14" s="1"/>
  <c r="P44" i="9"/>
  <c r="P44" i="14" s="1"/>
  <c r="P33" i="9"/>
  <c r="P33" i="14" s="1"/>
  <c r="P22" i="9"/>
  <c r="P22" i="14" s="1"/>
  <c r="P8" i="9"/>
  <c r="P49" i="9"/>
  <c r="P49" i="14" s="1"/>
  <c r="E110" i="9"/>
  <c r="E99" i="9"/>
  <c r="E90" i="9"/>
  <c r="E77" i="9"/>
  <c r="P107" i="14"/>
  <c r="E123" i="9"/>
  <c r="E121" i="9"/>
  <c r="E89" i="9"/>
  <c r="E76" i="9"/>
  <c r="E64" i="9"/>
  <c r="E52" i="9"/>
  <c r="E41" i="9"/>
  <c r="E19" i="9"/>
  <c r="M118" i="9"/>
  <c r="M107" i="9"/>
  <c r="M107" i="14" s="1"/>
  <c r="M98" i="9"/>
  <c r="M98" i="14" s="1"/>
  <c r="M85" i="9"/>
  <c r="M85" i="14" s="1"/>
  <c r="M73" i="9"/>
  <c r="M73" i="14" s="1"/>
  <c r="M61" i="9"/>
  <c r="M61" i="14" s="1"/>
  <c r="M49" i="9"/>
  <c r="M49" i="14" s="1"/>
  <c r="M38" i="9"/>
  <c r="M38" i="14" s="1"/>
  <c r="M27" i="9"/>
  <c r="M27" i="14" s="1"/>
  <c r="M18" i="9"/>
  <c r="M18" i="14" s="1"/>
  <c r="M12" i="9"/>
  <c r="M12" i="14" s="1"/>
  <c r="P118" i="9"/>
  <c r="P118" i="14" s="1"/>
  <c r="P27" i="9"/>
  <c r="P27" i="14" s="1"/>
  <c r="E122" i="9"/>
  <c r="P121" i="9"/>
  <c r="P121" i="14" s="1"/>
  <c r="P89" i="9"/>
  <c r="P89" i="14" s="1"/>
  <c r="P76" i="9"/>
  <c r="P76" i="14" s="1"/>
  <c r="P64" i="9"/>
  <c r="P64" i="14" s="1"/>
  <c r="P52" i="9"/>
  <c r="P52" i="14" s="1"/>
  <c r="P41" i="9"/>
  <c r="P41" i="14" s="1"/>
  <c r="P19" i="9"/>
  <c r="P19" i="14" s="1"/>
  <c r="H113" i="9"/>
  <c r="H113" i="14" s="1"/>
  <c r="H102" i="9"/>
  <c r="H102" i="14" s="1"/>
  <c r="H93" i="9"/>
  <c r="H93" i="14" s="1"/>
  <c r="H80" i="9"/>
  <c r="H80" i="14" s="1"/>
  <c r="H68" i="9"/>
  <c r="H68" i="14" s="1"/>
  <c r="H56" i="9"/>
  <c r="H56" i="14" s="1"/>
  <c r="H44" i="9"/>
  <c r="H44" i="14" s="1"/>
  <c r="H33" i="9"/>
  <c r="H33" i="14" s="1"/>
  <c r="H22" i="9"/>
  <c r="H22" i="14" s="1"/>
  <c r="H8" i="9"/>
  <c r="H8" i="14" s="1"/>
  <c r="M120" i="9"/>
  <c r="M120" i="14" s="1"/>
  <c r="M109" i="9"/>
  <c r="M87" i="9"/>
  <c r="M75" i="9"/>
  <c r="M75" i="14" s="1"/>
  <c r="M63" i="9"/>
  <c r="M63" i="14" s="1"/>
  <c r="M51" i="9"/>
  <c r="M51" i="14" s="1"/>
  <c r="M40" i="9"/>
  <c r="M40" i="14" s="1"/>
  <c r="M29" i="9"/>
  <c r="M29" i="14" s="1"/>
  <c r="M13" i="9"/>
  <c r="M13" i="14" s="1"/>
  <c r="P123" i="9"/>
  <c r="P123" i="14" s="1"/>
  <c r="P111" i="9"/>
  <c r="P111" i="14" s="1"/>
  <c r="P100" i="9"/>
  <c r="P100" i="14" s="1"/>
  <c r="P91" i="9"/>
  <c r="P91" i="14" s="1"/>
  <c r="P78" i="9"/>
  <c r="P78" i="14" s="1"/>
  <c r="P66" i="9"/>
  <c r="P66" i="14" s="1"/>
  <c r="P54" i="9"/>
  <c r="P54" i="14" s="1"/>
  <c r="P31" i="9"/>
  <c r="P31" i="14" s="1"/>
  <c r="P20" i="9"/>
  <c r="P20" i="14" s="1"/>
  <c r="M119" i="9"/>
  <c r="M119" i="14" s="1"/>
  <c r="M108" i="9"/>
  <c r="M108" i="14" s="1"/>
  <c r="M86" i="9"/>
  <c r="M86" i="14" s="1"/>
  <c r="M74" i="9"/>
  <c r="M74" i="14" s="1"/>
  <c r="M62" i="9"/>
  <c r="M62" i="14" s="1"/>
  <c r="M50" i="9"/>
  <c r="M50" i="14" s="1"/>
  <c r="M39" i="9"/>
  <c r="M39" i="14" s="1"/>
  <c r="M28" i="9"/>
  <c r="M28" i="14" s="1"/>
  <c r="M52" i="9"/>
  <c r="M52" i="14" s="1"/>
  <c r="M41" i="9"/>
  <c r="M41" i="14" s="1"/>
  <c r="M19" i="9"/>
  <c r="M19" i="14" s="1"/>
  <c r="P122" i="9"/>
  <c r="P122" i="14" s="1"/>
  <c r="P99" i="9"/>
  <c r="P99" i="14" s="1"/>
  <c r="P90" i="9"/>
  <c r="P90" i="14" s="1"/>
  <c r="P77" i="9"/>
  <c r="P77" i="14" s="1"/>
  <c r="P65" i="9"/>
  <c r="P65" i="14" s="1"/>
  <c r="P53" i="9"/>
  <c r="P53" i="14" s="1"/>
  <c r="P42" i="9"/>
  <c r="P42" i="14" s="1"/>
  <c r="P30" i="9"/>
  <c r="P30" i="14" s="1"/>
  <c r="M117" i="9"/>
  <c r="M117" i="14" s="1"/>
  <c r="M106" i="9"/>
  <c r="M106" i="14" s="1"/>
  <c r="M97" i="9"/>
  <c r="M97" i="14" s="1"/>
  <c r="M84" i="9"/>
  <c r="M84" i="14" s="1"/>
  <c r="M72" i="9"/>
  <c r="M72" i="14" s="1"/>
  <c r="M60" i="9"/>
  <c r="M60" i="14" s="1"/>
  <c r="M48" i="9"/>
  <c r="M48" i="14" s="1"/>
  <c r="M37" i="9"/>
  <c r="M37" i="14" s="1"/>
  <c r="M26" i="9"/>
  <c r="M26" i="14" s="1"/>
  <c r="Q26" i="14" s="1"/>
  <c r="M17" i="9"/>
  <c r="M17" i="14" s="1"/>
  <c r="M11" i="9"/>
  <c r="M11" i="14" s="1"/>
  <c r="P120" i="9"/>
  <c r="P109" i="9"/>
  <c r="P109" i="14" s="1"/>
  <c r="P87" i="9"/>
  <c r="P87" i="14" s="1"/>
  <c r="P75" i="9"/>
  <c r="P75" i="14" s="1"/>
  <c r="P51" i="9"/>
  <c r="P51" i="14" s="1"/>
  <c r="P40" i="9"/>
  <c r="P40" i="14" s="1"/>
  <c r="P29" i="9"/>
  <c r="P29" i="14" s="1"/>
  <c r="P13" i="9"/>
  <c r="P13" i="14" s="1"/>
  <c r="H116" i="9"/>
  <c r="H116" i="14" s="1"/>
  <c r="H105" i="9"/>
  <c r="H105" i="14" s="1"/>
  <c r="H96" i="9"/>
  <c r="H96" i="14" s="1"/>
  <c r="H83" i="9"/>
  <c r="H83" i="14" s="1"/>
  <c r="H71" i="9"/>
  <c r="H71" i="14" s="1"/>
  <c r="H59" i="9"/>
  <c r="H59" i="14" s="1"/>
  <c r="H47" i="9"/>
  <c r="H47" i="14" s="1"/>
  <c r="H36" i="9"/>
  <c r="H36" i="14" s="1"/>
  <c r="H25" i="9"/>
  <c r="H25" i="14" s="1"/>
  <c r="H10" i="9"/>
  <c r="H10" i="14" s="1"/>
  <c r="M116" i="9"/>
  <c r="M116" i="14" s="1"/>
  <c r="M105" i="9"/>
  <c r="M105" i="14" s="1"/>
  <c r="M96" i="9"/>
  <c r="M96" i="14" s="1"/>
  <c r="M83" i="9"/>
  <c r="M71" i="9"/>
  <c r="M71" i="14" s="1"/>
  <c r="M59" i="9"/>
  <c r="M47" i="9"/>
  <c r="M47" i="14" s="1"/>
  <c r="M36" i="9"/>
  <c r="M36" i="14" s="1"/>
  <c r="M25" i="9"/>
  <c r="M25" i="14" s="1"/>
  <c r="M10" i="9"/>
  <c r="M10" i="14" s="1"/>
  <c r="P119" i="9"/>
  <c r="P119" i="14" s="1"/>
  <c r="P108" i="9"/>
  <c r="P108" i="14" s="1"/>
  <c r="P86" i="9"/>
  <c r="P86" i="14" s="1"/>
  <c r="P74" i="9"/>
  <c r="P74" i="14" s="1"/>
  <c r="P62" i="9"/>
  <c r="P62" i="14" s="1"/>
  <c r="P50" i="9"/>
  <c r="P50" i="14" s="1"/>
  <c r="P39" i="9"/>
  <c r="P39" i="14" s="1"/>
  <c r="P28" i="9"/>
  <c r="P28" i="14" s="1"/>
  <c r="E65" i="9"/>
  <c r="M115" i="9"/>
  <c r="M115" i="14" s="1"/>
  <c r="M104" i="9"/>
  <c r="M104" i="14" s="1"/>
  <c r="M95" i="9"/>
  <c r="M82" i="9"/>
  <c r="M82" i="14" s="1"/>
  <c r="M70" i="9"/>
  <c r="M70" i="14" s="1"/>
  <c r="M58" i="9"/>
  <c r="M58" i="14" s="1"/>
  <c r="M46" i="9"/>
  <c r="M46" i="14" s="1"/>
  <c r="M35" i="9"/>
  <c r="M35" i="14" s="1"/>
  <c r="M24" i="9"/>
  <c r="M24" i="14" s="1"/>
  <c r="M16" i="9"/>
  <c r="M16" i="14" s="1"/>
  <c r="E113" i="9"/>
  <c r="E102" i="9"/>
  <c r="E93" i="9"/>
  <c r="E80" i="9"/>
  <c r="E68" i="9"/>
  <c r="E56" i="9"/>
  <c r="E44" i="9"/>
  <c r="E33" i="9"/>
  <c r="E22" i="9"/>
  <c r="E8" i="9"/>
  <c r="M114" i="9"/>
  <c r="M114" i="14" s="1"/>
  <c r="P117" i="9"/>
  <c r="P117" i="14" s="1"/>
  <c r="P106" i="9"/>
  <c r="P97" i="9"/>
  <c r="P97" i="14" s="1"/>
  <c r="P84" i="9"/>
  <c r="P84" i="14" s="1"/>
  <c r="P72" i="9"/>
  <c r="P72" i="14" s="1"/>
  <c r="P60" i="9"/>
  <c r="P60" i="14" s="1"/>
  <c r="P48" i="9"/>
  <c r="P48" i="14" s="1"/>
  <c r="P37" i="9"/>
  <c r="P37" i="14" s="1"/>
  <c r="P26" i="9"/>
  <c r="P26" i="14" s="1"/>
  <c r="P17" i="9"/>
  <c r="P17" i="14" s="1"/>
  <c r="P11" i="9"/>
  <c r="P11" i="14" s="1"/>
  <c r="E53" i="9"/>
  <c r="M7" i="9"/>
  <c r="M113" i="9"/>
  <c r="M113" i="14" s="1"/>
  <c r="Q113" i="14" s="1"/>
  <c r="M102" i="9"/>
  <c r="M102" i="14" s="1"/>
  <c r="M93" i="9"/>
  <c r="M93" i="14" s="1"/>
  <c r="M80" i="9"/>
  <c r="M80" i="14" s="1"/>
  <c r="M68" i="9"/>
  <c r="M68" i="14" s="1"/>
  <c r="M56" i="9"/>
  <c r="M56" i="14" s="1"/>
  <c r="M44" i="9"/>
  <c r="M44" i="14" s="1"/>
  <c r="M33" i="9"/>
  <c r="M33" i="14" s="1"/>
  <c r="M22" i="9"/>
  <c r="M22" i="14" s="1"/>
  <c r="M8" i="9"/>
  <c r="P116" i="9"/>
  <c r="P116" i="14" s="1"/>
  <c r="P105" i="9"/>
  <c r="P105" i="14" s="1"/>
  <c r="P96" i="9"/>
  <c r="P96" i="14" s="1"/>
  <c r="P83" i="9"/>
  <c r="P83" i="14" s="1"/>
  <c r="P71" i="9"/>
  <c r="P71" i="14" s="1"/>
  <c r="P59" i="9"/>
  <c r="P59" i="14" s="1"/>
  <c r="P47" i="9"/>
  <c r="P47" i="14" s="1"/>
  <c r="P36" i="9"/>
  <c r="P36" i="14" s="1"/>
  <c r="P25" i="9"/>
  <c r="P25" i="14" s="1"/>
  <c r="P10" i="9"/>
  <c r="P10" i="14" s="1"/>
  <c r="E117" i="9"/>
  <c r="E106" i="9"/>
  <c r="E97" i="9"/>
  <c r="E84" i="9"/>
  <c r="E72" i="9"/>
  <c r="E60" i="9"/>
  <c r="E48" i="9"/>
  <c r="E37" i="9"/>
  <c r="E17" i="9"/>
  <c r="H123" i="9"/>
  <c r="H123" i="14" s="1"/>
  <c r="H111" i="9"/>
  <c r="H111" i="14" s="1"/>
  <c r="H54" i="9"/>
  <c r="H54" i="14" s="1"/>
  <c r="H31" i="9"/>
  <c r="H31" i="14" s="1"/>
  <c r="H20" i="9"/>
  <c r="H20" i="14" s="1"/>
  <c r="H7" i="9"/>
  <c r="M124" i="9"/>
  <c r="M124" i="14" s="1"/>
  <c r="M112" i="9"/>
  <c r="M112" i="14" s="1"/>
  <c r="M101" i="9"/>
  <c r="M101" i="14" s="1"/>
  <c r="M92" i="9"/>
  <c r="M92" i="14" s="1"/>
  <c r="M79" i="9"/>
  <c r="M79" i="14" s="1"/>
  <c r="M67" i="9"/>
  <c r="M67" i="14" s="1"/>
  <c r="M55" i="9"/>
  <c r="M55" i="14" s="1"/>
  <c r="M43" i="9"/>
  <c r="M43" i="14" s="1"/>
  <c r="M32" i="9"/>
  <c r="M32" i="14" s="1"/>
  <c r="M21" i="9"/>
  <c r="M21" i="14" s="1"/>
  <c r="M14" i="9"/>
  <c r="M14" i="14" s="1"/>
  <c r="M103" i="9"/>
  <c r="M103" i="14" s="1"/>
  <c r="M94" i="9"/>
  <c r="M94" i="14" s="1"/>
  <c r="M81" i="9"/>
  <c r="M81" i="14" s="1"/>
  <c r="M69" i="9"/>
  <c r="M69" i="14" s="1"/>
  <c r="M57" i="9"/>
  <c r="M57" i="14" s="1"/>
  <c r="M45" i="9"/>
  <c r="M45" i="14" s="1"/>
  <c r="M34" i="9"/>
  <c r="M34" i="14" s="1"/>
  <c r="M23" i="9"/>
  <c r="M23" i="14" s="1"/>
  <c r="M15" i="9"/>
  <c r="M15" i="14" s="1"/>
  <c r="M9" i="9"/>
  <c r="M9" i="14" s="1"/>
  <c r="P115" i="9"/>
  <c r="P115" i="14" s="1"/>
  <c r="P104" i="9"/>
  <c r="P104" i="14" s="1"/>
  <c r="P95" i="9"/>
  <c r="P95" i="14" s="1"/>
  <c r="P82" i="9"/>
  <c r="P82" i="14" s="1"/>
  <c r="P70" i="9"/>
  <c r="P70" i="14" s="1"/>
  <c r="P58" i="9"/>
  <c r="P58" i="14" s="1"/>
  <c r="P46" i="9"/>
  <c r="P46" i="14" s="1"/>
  <c r="P35" i="9"/>
  <c r="P35" i="14" s="1"/>
  <c r="P24" i="9"/>
  <c r="P24" i="14" s="1"/>
  <c r="P16" i="9"/>
  <c r="E42" i="9"/>
  <c r="M123" i="9"/>
  <c r="M123" i="14" s="1"/>
  <c r="M111" i="9"/>
  <c r="M111" i="14" s="1"/>
  <c r="M100" i="9"/>
  <c r="M100" i="14" s="1"/>
  <c r="M91" i="9"/>
  <c r="M91" i="14" s="1"/>
  <c r="M78" i="9"/>
  <c r="M78" i="14" s="1"/>
  <c r="M66" i="9"/>
  <c r="M66" i="14" s="1"/>
  <c r="M54" i="9"/>
  <c r="M54" i="14" s="1"/>
  <c r="M31" i="9"/>
  <c r="M31" i="14" s="1"/>
  <c r="M20" i="9"/>
  <c r="M20" i="14" s="1"/>
  <c r="M122" i="9"/>
  <c r="M122" i="14" s="1"/>
  <c r="Q122" i="14" s="1"/>
  <c r="M110" i="9"/>
  <c r="M110" i="14" s="1"/>
  <c r="M99" i="9"/>
  <c r="M99" i="14" s="1"/>
  <c r="M90" i="9"/>
  <c r="M90" i="14" s="1"/>
  <c r="M77" i="9"/>
  <c r="M77" i="14" s="1"/>
  <c r="E30" i="9"/>
  <c r="H121" i="9"/>
  <c r="H121" i="14" s="1"/>
  <c r="H89" i="9"/>
  <c r="H89" i="14" s="1"/>
  <c r="H76" i="9"/>
  <c r="H76" i="14" s="1"/>
  <c r="H64" i="9"/>
  <c r="H64" i="14" s="1"/>
  <c r="H52" i="9"/>
  <c r="H52" i="14" s="1"/>
  <c r="H41" i="9"/>
  <c r="H41" i="14" s="1"/>
  <c r="H19" i="9"/>
  <c r="H19" i="14" s="1"/>
  <c r="M121" i="9"/>
  <c r="M89" i="9"/>
  <c r="M89" i="14" s="1"/>
  <c r="M76" i="9"/>
  <c r="M76" i="14" s="1"/>
  <c r="M64" i="9"/>
  <c r="M64" i="14" s="1"/>
  <c r="P124" i="9"/>
  <c r="P124" i="14" s="1"/>
  <c r="P112" i="9"/>
  <c r="P112" i="14" s="1"/>
  <c r="P101" i="9"/>
  <c r="P101" i="14" s="1"/>
  <c r="P92" i="9"/>
  <c r="P92" i="14" s="1"/>
  <c r="P79" i="9"/>
  <c r="P79" i="14" s="1"/>
  <c r="P67" i="9"/>
  <c r="P67" i="14" s="1"/>
  <c r="P55" i="9"/>
  <c r="P55" i="14" s="1"/>
  <c r="P43" i="9"/>
  <c r="P43" i="14" s="1"/>
  <c r="P32" i="9"/>
  <c r="P32" i="14" s="1"/>
  <c r="P21" i="9"/>
  <c r="P21" i="14" s="1"/>
  <c r="P14" i="9"/>
  <c r="P14" i="14" s="1"/>
  <c r="Q112" i="14" l="1"/>
  <c r="Q35" i="14"/>
  <c r="Q25" i="14"/>
  <c r="Q18" i="14"/>
  <c r="Q124" i="14"/>
  <c r="Q37" i="14"/>
  <c r="Q55" i="14"/>
  <c r="Q107" i="14"/>
  <c r="Q32" i="14"/>
  <c r="Q114" i="14"/>
  <c r="F122" i="10" s="1"/>
  <c r="Q101" i="14"/>
  <c r="Q56" i="14"/>
  <c r="Q23" i="14"/>
  <c r="Q14" i="14"/>
  <c r="Q86" i="14"/>
  <c r="Q76" i="14"/>
  <c r="Q21" i="14"/>
  <c r="Q43" i="14"/>
  <c r="Q47" i="14"/>
  <c r="Q96" i="14"/>
  <c r="Q49" i="14"/>
  <c r="Q105" i="14"/>
  <c r="Q67" i="14"/>
  <c r="Q71" i="14"/>
  <c r="Q61" i="14"/>
  <c r="Q51" i="14"/>
  <c r="Q104" i="14"/>
  <c r="Q115" i="14"/>
  <c r="Q68" i="14"/>
  <c r="Q39" i="14"/>
  <c r="Q116" i="14"/>
  <c r="Q79" i="14"/>
  <c r="Q33" i="14"/>
  <c r="Q13" i="14"/>
  <c r="Q73" i="14"/>
  <c r="Q41" i="14"/>
  <c r="Q45" i="14"/>
  <c r="Q57" i="14"/>
  <c r="Q24" i="14"/>
  <c r="Q85" i="14"/>
  <c r="Q75" i="14"/>
  <c r="Q66" i="14"/>
  <c r="Q108" i="14"/>
  <c r="Q117" i="14"/>
  <c r="Q90" i="9"/>
  <c r="Q91" i="14"/>
  <c r="Q81" i="14"/>
  <c r="Q22" i="14"/>
  <c r="Q36" i="14"/>
  <c r="Q15" i="14"/>
  <c r="F88" i="10" s="1"/>
  <c r="G88" i="10" s="1"/>
  <c r="Q17" i="14"/>
  <c r="Q78" i="14"/>
  <c r="Q27" i="14"/>
  <c r="Q111" i="14"/>
  <c r="Q82" i="14"/>
  <c r="Q34" i="14"/>
  <c r="Q48" i="14"/>
  <c r="Q28" i="14"/>
  <c r="Q77" i="14"/>
  <c r="Q9" i="14"/>
  <c r="Q119" i="14"/>
  <c r="Q31" i="14"/>
  <c r="Q69" i="14"/>
  <c r="Q123" i="14"/>
  <c r="Q19" i="9"/>
  <c r="Q20" i="14"/>
  <c r="F20" i="10" s="1"/>
  <c r="G20" i="10" s="1"/>
  <c r="I20" i="10" s="1"/>
  <c r="Q46" i="14"/>
  <c r="Q60" i="14"/>
  <c r="Q50" i="14"/>
  <c r="Q40" i="14"/>
  <c r="Q10" i="14"/>
  <c r="Q100" i="14"/>
  <c r="Q58" i="14"/>
  <c r="Q72" i="14"/>
  <c r="Q62" i="14"/>
  <c r="Q52" i="14"/>
  <c r="Q12" i="14"/>
  <c r="Q80" i="14"/>
  <c r="Q97" i="14"/>
  <c r="F34" i="16" s="1"/>
  <c r="H34" i="16" s="1"/>
  <c r="J34" i="16" s="1"/>
  <c r="Q103" i="14"/>
  <c r="Q92" i="14"/>
  <c r="Q70" i="14"/>
  <c r="Q84" i="14"/>
  <c r="Q74" i="14"/>
  <c r="Q64" i="14"/>
  <c r="Q11" i="14"/>
  <c r="H7" i="14"/>
  <c r="M7" i="14"/>
  <c r="Q107" i="9"/>
  <c r="Q37" i="9"/>
  <c r="Q31" i="9"/>
  <c r="Q119" i="9"/>
  <c r="Q49" i="9"/>
  <c r="Q53" i="9"/>
  <c r="Q65" i="9"/>
  <c r="Q111" i="9"/>
  <c r="Q118" i="9"/>
  <c r="Q108" i="9"/>
  <c r="Q30" i="9"/>
  <c r="Q27" i="9"/>
  <c r="Q17" i="9"/>
  <c r="Q52" i="9"/>
  <c r="Q81" i="9"/>
  <c r="Q82" i="9"/>
  <c r="Q51" i="9"/>
  <c r="Q116" i="9"/>
  <c r="Q48" i="9"/>
  <c r="Q64" i="9"/>
  <c r="Q54" i="9"/>
  <c r="Q103" i="9"/>
  <c r="Q61" i="9"/>
  <c r="Q12" i="9"/>
  <c r="Q92" i="9"/>
  <c r="Q9" i="9"/>
  <c r="Q76" i="9"/>
  <c r="Q66" i="9"/>
  <c r="Q114" i="9"/>
  <c r="Q73" i="9"/>
  <c r="Q75" i="9"/>
  <c r="Q104" i="9"/>
  <c r="Q14" i="9"/>
  <c r="Q101" i="9"/>
  <c r="Q80" i="9"/>
  <c r="Q60" i="9"/>
  <c r="Q102" i="9"/>
  <c r="Q89" i="9"/>
  <c r="Q78" i="9"/>
  <c r="Q85" i="9"/>
  <c r="Q120" i="9"/>
  <c r="Q115" i="9"/>
  <c r="Q21" i="9"/>
  <c r="Q112" i="9"/>
  <c r="Q72" i="9"/>
  <c r="Q113" i="9"/>
  <c r="Q121" i="9"/>
  <c r="Q91" i="9"/>
  <c r="Q50" i="9"/>
  <c r="Q32" i="9"/>
  <c r="Q124" i="9"/>
  <c r="Q25" i="9"/>
  <c r="Q84" i="9"/>
  <c r="Q97" i="9"/>
  <c r="Q123" i="9"/>
  <c r="Q100" i="9"/>
  <c r="Q57" i="9"/>
  <c r="Q74" i="9"/>
  <c r="Q43" i="9"/>
  <c r="Q36" i="9"/>
  <c r="Q47" i="9"/>
  <c r="Q8" i="9"/>
  <c r="Q11" i="9"/>
  <c r="Q16" i="9"/>
  <c r="Q55" i="9"/>
  <c r="Q22" i="9"/>
  <c r="Q77" i="9"/>
  <c r="Q15" i="9"/>
  <c r="Q10" i="9"/>
  <c r="Q7" i="9"/>
  <c r="Q109" i="9"/>
  <c r="Q24" i="9"/>
  <c r="Q67" i="9"/>
  <c r="Q59" i="9"/>
  <c r="Q33" i="9"/>
  <c r="Q122" i="9"/>
  <c r="Q23" i="9"/>
  <c r="Q28" i="9"/>
  <c r="Q87" i="9"/>
  <c r="Q35" i="9"/>
  <c r="Q79" i="9"/>
  <c r="Q71" i="9"/>
  <c r="Q68" i="9"/>
  <c r="Q106" i="9"/>
  <c r="Q42" i="9"/>
  <c r="Q44" i="9"/>
  <c r="Q99" i="9"/>
  <c r="Q34" i="9"/>
  <c r="Q18" i="9"/>
  <c r="Q39" i="9"/>
  <c r="Q46" i="9"/>
  <c r="Q13" i="9"/>
  <c r="Q83" i="9"/>
  <c r="Q56" i="9"/>
  <c r="Q45" i="9"/>
  <c r="Q62" i="9"/>
  <c r="Q58" i="9"/>
  <c r="Q29" i="9"/>
  <c r="Q96" i="9"/>
  <c r="Q26" i="9"/>
  <c r="Q41" i="9"/>
  <c r="Q20" i="9"/>
  <c r="Q69" i="9"/>
  <c r="Q86" i="9"/>
  <c r="Q70" i="9"/>
  <c r="Q40" i="9"/>
  <c r="Q105" i="9"/>
  <c r="P7" i="14"/>
  <c r="Q98" i="14"/>
  <c r="Q94" i="14"/>
  <c r="F69" i="10"/>
  <c r="G69" i="10" s="1"/>
  <c r="I69" i="10" s="1"/>
  <c r="Q19" i="14"/>
  <c r="Q89" i="14"/>
  <c r="F32" i="10"/>
  <c r="G32" i="10" s="1"/>
  <c r="I32" i="10" s="1"/>
  <c r="F38" i="10"/>
  <c r="G38" i="10" s="1"/>
  <c r="I38" i="10" s="1"/>
  <c r="Q44" i="14"/>
  <c r="Q93" i="14"/>
  <c r="F102" i="10"/>
  <c r="G102" i="10" s="1"/>
  <c r="I102" i="10" s="1"/>
  <c r="M88" i="9"/>
  <c r="Q88" i="9" s="1"/>
  <c r="M87" i="14"/>
  <c r="F98" i="10"/>
  <c r="G98" i="10" s="1"/>
  <c r="I98" i="10" s="1"/>
  <c r="F22" i="16"/>
  <c r="H22" i="16" s="1"/>
  <c r="J22" i="16" s="1"/>
  <c r="E53" i="14"/>
  <c r="Q53" i="14" s="1"/>
  <c r="E30" i="14"/>
  <c r="Q30" i="14" s="1"/>
  <c r="E65" i="14"/>
  <c r="Q65" i="14" s="1"/>
  <c r="F26" i="10"/>
  <c r="G26" i="10" s="1"/>
  <c r="I26" i="10" s="1"/>
  <c r="E42" i="14"/>
  <c r="Q42" i="14" s="1"/>
  <c r="F23" i="10"/>
  <c r="G23" i="10" s="1"/>
  <c r="I23" i="10" s="1"/>
  <c r="Q54" i="14"/>
  <c r="Q94" i="9"/>
  <c r="Q117" i="9"/>
  <c r="Q98" i="9"/>
  <c r="Q93" i="9"/>
  <c r="Q95" i="9"/>
  <c r="BH1" i="12"/>
  <c r="BG1" i="12"/>
  <c r="BF1" i="12"/>
  <c r="BE1" i="12"/>
  <c r="BD1" i="12"/>
  <c r="BC1" i="12"/>
  <c r="BB1" i="12"/>
  <c r="BA1" i="12"/>
  <c r="AZ1" i="12"/>
  <c r="AY1" i="12"/>
  <c r="AX1" i="12"/>
  <c r="AW1" i="12"/>
  <c r="AV1" i="12"/>
  <c r="AU1" i="12"/>
  <c r="AT1" i="12"/>
  <c r="AS1" i="12"/>
  <c r="AR1" i="12"/>
  <c r="AQ1" i="12"/>
  <c r="AP1" i="12"/>
  <c r="AO1" i="12"/>
  <c r="AN1" i="12"/>
  <c r="AM1" i="12"/>
  <c r="AL1" i="12"/>
  <c r="AK1" i="12"/>
  <c r="AJ1" i="12"/>
  <c r="AI1" i="12"/>
  <c r="AH1" i="12"/>
  <c r="AG1" i="12"/>
  <c r="AF1" i="12"/>
  <c r="AE1" i="12"/>
  <c r="AD1" i="12"/>
  <c r="AC1" i="12"/>
  <c r="AB1" i="12"/>
  <c r="AA1" i="12"/>
  <c r="Z1" i="12"/>
  <c r="Y1" i="12"/>
  <c r="X1" i="12"/>
  <c r="W1" i="12"/>
  <c r="V1" i="12"/>
  <c r="U1" i="12"/>
  <c r="T1" i="12"/>
  <c r="S1" i="12"/>
  <c r="R1" i="12"/>
  <c r="Q1" i="12"/>
  <c r="P1" i="12"/>
  <c r="O1" i="12"/>
  <c r="N1" i="12"/>
  <c r="M1" i="12"/>
  <c r="L1" i="12"/>
  <c r="K1" i="12"/>
  <c r="J1" i="12"/>
  <c r="I1" i="12"/>
  <c r="H1" i="12"/>
  <c r="G1" i="12"/>
  <c r="F1" i="12"/>
  <c r="E1" i="12"/>
  <c r="D1" i="12"/>
  <c r="C1" i="12"/>
  <c r="B1" i="12"/>
  <c r="Q7" i="14" l="1"/>
  <c r="F54" i="10"/>
  <c r="G54" i="10" s="1"/>
  <c r="I54" i="10" s="1"/>
  <c r="F43" i="10"/>
  <c r="G43" i="10" s="1"/>
  <c r="I43" i="10" s="1"/>
  <c r="F90" i="10"/>
  <c r="G90" i="10" s="1"/>
  <c r="I90" i="10" s="1"/>
  <c r="F73" i="10"/>
  <c r="G73" i="10" s="1"/>
  <c r="I73" i="10" s="1"/>
  <c r="F101" i="10"/>
  <c r="G101" i="10" s="1"/>
  <c r="I101" i="10" s="1"/>
  <c r="F20" i="16"/>
  <c r="H20" i="16" s="1"/>
  <c r="J20" i="16" s="1"/>
  <c r="F56" i="10"/>
  <c r="G56" i="10" s="1"/>
  <c r="I56" i="10" s="1"/>
  <c r="F12" i="10"/>
  <c r="G12" i="10" s="1"/>
  <c r="F82" i="10"/>
  <c r="G82" i="10" s="1"/>
  <c r="F92" i="10"/>
  <c r="G92" i="10" s="1"/>
  <c r="F30" i="10"/>
  <c r="G30" i="10" s="1"/>
  <c r="I30" i="10" s="1"/>
  <c r="F111" i="10"/>
  <c r="G111" i="10" s="1"/>
  <c r="F57" i="10"/>
  <c r="G57" i="10" s="1"/>
  <c r="F66" i="10"/>
  <c r="G66" i="10" s="1"/>
  <c r="F13" i="10"/>
  <c r="G13" i="10" s="1"/>
  <c r="F83" i="10"/>
  <c r="G83" i="10" s="1"/>
  <c r="G122" i="10"/>
  <c r="I122" i="10" s="1"/>
  <c r="E48" i="16"/>
  <c r="G48" i="16" s="1"/>
  <c r="I48" i="16" s="1"/>
  <c r="F14" i="16"/>
  <c r="H14" i="16" s="1"/>
  <c r="J14" i="16" s="1"/>
  <c r="I88" i="10"/>
  <c r="F10" i="17"/>
  <c r="H10" i="17" s="1"/>
  <c r="F17" i="16"/>
  <c r="H17" i="16" s="1"/>
  <c r="F18" i="10"/>
  <c r="G18" i="10" s="1"/>
  <c r="F28" i="16"/>
  <c r="H28" i="16" s="1"/>
  <c r="F77" i="10"/>
  <c r="G77" i="10" s="1"/>
  <c r="I77" i="10" s="1"/>
  <c r="F117" i="10"/>
  <c r="F22" i="10"/>
  <c r="G22" i="10" s="1"/>
  <c r="I22" i="10" s="1"/>
  <c r="F97" i="10"/>
  <c r="G97" i="10" s="1"/>
  <c r="I97" i="10" s="1"/>
  <c r="F119" i="10"/>
  <c r="F13" i="16"/>
  <c r="H13" i="16" s="1"/>
  <c r="J13" i="16" s="1"/>
  <c r="F10" i="10"/>
  <c r="G10" i="10" s="1"/>
  <c r="F33" i="10"/>
  <c r="G33" i="10" s="1"/>
  <c r="I33" i="10" s="1"/>
  <c r="F79" i="10"/>
  <c r="G79" i="10" s="1"/>
  <c r="I79" i="10" s="1"/>
  <c r="F76" i="10"/>
  <c r="G76" i="10" s="1"/>
  <c r="I76" i="10" s="1"/>
  <c r="F21" i="16"/>
  <c r="H21" i="16" s="1"/>
  <c r="J21" i="16" s="1"/>
  <c r="F15" i="16"/>
  <c r="H15" i="16" s="1"/>
  <c r="J15" i="16" s="1"/>
  <c r="F120" i="10"/>
  <c r="F34" i="10"/>
  <c r="G34" i="10" s="1"/>
  <c r="I34" i="10" s="1"/>
  <c r="F29" i="10"/>
  <c r="G29" i="10" s="1"/>
  <c r="I29" i="10" s="1"/>
  <c r="F23" i="16"/>
  <c r="H23" i="16" s="1"/>
  <c r="J23" i="16" s="1"/>
  <c r="F31" i="10"/>
  <c r="G31" i="10" s="1"/>
  <c r="I31" i="10" s="1"/>
  <c r="F24" i="16"/>
  <c r="H24" i="16" s="1"/>
  <c r="J24" i="16" s="1"/>
  <c r="F107" i="10"/>
  <c r="G107" i="10" s="1"/>
  <c r="I107" i="10" s="1"/>
  <c r="F30" i="16"/>
  <c r="H30" i="16" s="1"/>
  <c r="J30" i="16" s="1"/>
  <c r="F40" i="10"/>
  <c r="G40" i="10" s="1"/>
  <c r="F49" i="10"/>
  <c r="G49" i="10" s="1"/>
  <c r="I49" i="10" s="1"/>
  <c r="F70" i="10"/>
  <c r="G70" i="10" s="1"/>
  <c r="I70" i="10" s="1"/>
  <c r="F64" i="10"/>
  <c r="G64" i="10" s="1"/>
  <c r="I64" i="10" s="1"/>
  <c r="F29" i="16"/>
  <c r="H29" i="16" s="1"/>
  <c r="J29" i="16" s="1"/>
  <c r="F48" i="10"/>
  <c r="G48" i="10" s="1"/>
  <c r="F62" i="10"/>
  <c r="G62" i="10" s="1"/>
  <c r="F68" i="10"/>
  <c r="G68" i="10" s="1"/>
  <c r="F106" i="10"/>
  <c r="G106" i="10" s="1"/>
  <c r="F33" i="16"/>
  <c r="H33" i="16" s="1"/>
  <c r="J33" i="16" s="1"/>
  <c r="F110" i="10"/>
  <c r="G110" i="10" s="1"/>
  <c r="I110" i="10" s="1"/>
  <c r="F44" i="10"/>
  <c r="G44" i="10" s="1"/>
  <c r="I44" i="10" s="1"/>
  <c r="F91" i="10"/>
  <c r="G91" i="10" s="1"/>
  <c r="I91" i="10" s="1"/>
  <c r="F78" i="10"/>
  <c r="G78" i="10" s="1"/>
  <c r="I78" i="10" s="1"/>
  <c r="F121" i="10"/>
  <c r="F35" i="10"/>
  <c r="G35" i="10" s="1"/>
  <c r="I35" i="10" s="1"/>
  <c r="F36" i="10"/>
  <c r="G36" i="10" s="1"/>
  <c r="I36" i="10" s="1"/>
  <c r="F45" i="10"/>
  <c r="G45" i="10" s="1"/>
  <c r="I45" i="10" s="1"/>
  <c r="F26" i="16"/>
  <c r="H26" i="16" s="1"/>
  <c r="J26" i="16" s="1"/>
  <c r="F27" i="10"/>
  <c r="G27" i="10" s="1"/>
  <c r="I27" i="10" s="1"/>
  <c r="F75" i="10"/>
  <c r="G75" i="10" s="1"/>
  <c r="I75" i="10" s="1"/>
  <c r="F63" i="10"/>
  <c r="G63" i="10" s="1"/>
  <c r="I63" i="10" s="1"/>
  <c r="F89" i="10"/>
  <c r="G89" i="10" s="1"/>
  <c r="I89" i="10" s="1"/>
  <c r="F115" i="10"/>
  <c r="G115" i="10" s="1"/>
  <c r="F18" i="16"/>
  <c r="H18" i="16" s="1"/>
  <c r="J18" i="16" s="1"/>
  <c r="F10" i="16"/>
  <c r="H10" i="16" s="1"/>
  <c r="F21" i="10"/>
  <c r="G21" i="10" s="1"/>
  <c r="I21" i="10" s="1"/>
  <c r="F28" i="10"/>
  <c r="G28" i="10" s="1"/>
  <c r="I28" i="10" s="1"/>
  <c r="F116" i="10"/>
  <c r="F41" i="10"/>
  <c r="G41" i="10" s="1"/>
  <c r="I41" i="10" s="1"/>
  <c r="F52" i="10"/>
  <c r="G52" i="10" s="1"/>
  <c r="I52" i="10" s="1"/>
  <c r="F11" i="17"/>
  <c r="H11" i="17" s="1"/>
  <c r="J11" i="17" s="1"/>
  <c r="F65" i="10"/>
  <c r="G65" i="10" s="1"/>
  <c r="I65" i="10" s="1"/>
  <c r="F109" i="10"/>
  <c r="G109" i="10" s="1"/>
  <c r="I109" i="10" s="1"/>
  <c r="F71" i="10"/>
  <c r="G71" i="10" s="1"/>
  <c r="I71" i="10" s="1"/>
  <c r="F50" i="10"/>
  <c r="G50" i="10" s="1"/>
  <c r="I50" i="10" s="1"/>
  <c r="F86" i="10"/>
  <c r="G86" i="10" s="1"/>
  <c r="F108" i="10"/>
  <c r="G108" i="10" s="1"/>
  <c r="I108" i="10" s="1"/>
  <c r="F31" i="16"/>
  <c r="H31" i="16" s="1"/>
  <c r="J31" i="16" s="1"/>
  <c r="F12" i="16"/>
  <c r="H12" i="16" s="1"/>
  <c r="J12" i="16" s="1"/>
  <c r="F118" i="10"/>
  <c r="F32" i="16"/>
  <c r="H32" i="16" s="1"/>
  <c r="J32" i="16" s="1"/>
  <c r="F55" i="10"/>
  <c r="G55" i="10" s="1"/>
  <c r="I55" i="10" s="1"/>
  <c r="F74" i="10"/>
  <c r="G74" i="10" s="1"/>
  <c r="I74" i="10" s="1"/>
  <c r="M88" i="14"/>
  <c r="Q88" i="14" s="1"/>
  <c r="H42" i="4"/>
  <c r="H41" i="4"/>
  <c r="H39" i="4"/>
  <c r="H25" i="4"/>
  <c r="H24" i="4"/>
  <c r="H11" i="4"/>
  <c r="G20" i="4" l="1"/>
  <c r="H20" i="4" s="1"/>
  <c r="G32" i="4"/>
  <c r="H32" i="4" s="1"/>
  <c r="G118" i="10"/>
  <c r="I118" i="10" s="1"/>
  <c r="G116" i="10"/>
  <c r="I116" i="10" s="1"/>
  <c r="G121" i="10"/>
  <c r="I121" i="10" s="1"/>
  <c r="G120" i="10"/>
  <c r="I120" i="10" s="1"/>
  <c r="G119" i="10"/>
  <c r="I119" i="10" s="1"/>
  <c r="G117" i="10"/>
  <c r="I117" i="10" s="1"/>
  <c r="G27" i="4"/>
  <c r="H27" i="4" s="1"/>
  <c r="G28" i="4"/>
  <c r="H28" i="4" s="1"/>
  <c r="G29" i="4"/>
  <c r="H29" i="4" s="1"/>
  <c r="G26" i="4"/>
  <c r="H26" i="4" s="1"/>
  <c r="M10" i="16"/>
  <c r="L14" i="10"/>
  <c r="G35" i="4"/>
  <c r="G34" i="4"/>
  <c r="G33" i="4"/>
  <c r="J17" i="16"/>
  <c r="J10" i="17"/>
  <c r="I18" i="10"/>
  <c r="I48" i="10"/>
  <c r="I115" i="10"/>
  <c r="I40" i="10"/>
  <c r="I10" i="10"/>
  <c r="I106" i="10"/>
  <c r="I86" i="10"/>
  <c r="I68" i="10"/>
  <c r="I62" i="10"/>
  <c r="J10" i="16"/>
  <c r="J28" i="16"/>
  <c r="K46" i="6"/>
  <c r="G46" i="6" s="1"/>
  <c r="K45" i="6"/>
  <c r="D45" i="6" s="1"/>
  <c r="I45" i="4" s="1"/>
  <c r="J45" i="4" s="1"/>
  <c r="K44" i="6"/>
  <c r="G44" i="6" s="1"/>
  <c r="K43" i="6"/>
  <c r="G43" i="6" s="1"/>
  <c r="H35" i="6"/>
  <c r="G35" i="6" s="1"/>
  <c r="H34" i="6"/>
  <c r="G34" i="6" s="1"/>
  <c r="H33" i="6"/>
  <c r="D33" i="6" s="1"/>
  <c r="J31" i="6"/>
  <c r="G31" i="6" s="1"/>
  <c r="J30" i="6"/>
  <c r="G30" i="6" s="1"/>
  <c r="J26" i="6"/>
  <c r="H11" i="6"/>
  <c r="I10" i="6"/>
  <c r="I9" i="6"/>
  <c r="H33" i="4" l="1"/>
  <c r="H34" i="4"/>
  <c r="H35" i="4"/>
  <c r="F30" i="6"/>
  <c r="D30" i="6"/>
  <c r="I30" i="4" s="1"/>
  <c r="J30" i="4" s="1"/>
  <c r="F34" i="6"/>
  <c r="E33" i="6"/>
  <c r="I33" i="4"/>
  <c r="J33" i="4" s="1"/>
  <c r="F33" i="6"/>
  <c r="F45" i="6"/>
  <c r="G33" i="6"/>
  <c r="G45" i="6"/>
  <c r="D34" i="6"/>
  <c r="D46" i="6"/>
  <c r="I46" i="4" s="1"/>
  <c r="J46" i="4" s="1"/>
  <c r="F46" i="6"/>
  <c r="D31" i="6"/>
  <c r="D35" i="6"/>
  <c r="D43" i="6"/>
  <c r="O19" i="6"/>
  <c r="M19" i="6"/>
  <c r="L19" i="6"/>
  <c r="K19" i="6"/>
  <c r="J19" i="6"/>
  <c r="I19" i="6"/>
  <c r="H19" i="6"/>
  <c r="I37" i="6"/>
  <c r="L37" i="6"/>
  <c r="M14" i="6"/>
  <c r="H14" i="6"/>
  <c r="L38" i="6"/>
  <c r="I38" i="6"/>
  <c r="F31" i="6"/>
  <c r="F35" i="6"/>
  <c r="F43" i="6"/>
  <c r="M15" i="6"/>
  <c r="H15" i="6"/>
  <c r="L40" i="6"/>
  <c r="M40" i="6"/>
  <c r="O13" i="6"/>
  <c r="I13" i="6"/>
  <c r="L20" i="6"/>
  <c r="K20" i="6"/>
  <c r="J20" i="6"/>
  <c r="H20" i="6"/>
  <c r="N39" i="6"/>
  <c r="I39" i="6"/>
  <c r="K39" i="6"/>
  <c r="J16" i="6"/>
  <c r="H16" i="6"/>
  <c r="O16" i="6"/>
  <c r="N16" i="6"/>
  <c r="M16" i="6"/>
  <c r="K16" i="6"/>
  <c r="L41" i="6"/>
  <c r="O41" i="6"/>
  <c r="I41" i="6"/>
  <c r="M41" i="6"/>
  <c r="D44" i="6"/>
  <c r="I44" i="4" s="1"/>
  <c r="J44" i="4" s="1"/>
  <c r="I25" i="6"/>
  <c r="H25" i="6"/>
  <c r="O25" i="6"/>
  <c r="K25" i="6"/>
  <c r="J25" i="6"/>
  <c r="M25" i="6"/>
  <c r="L25" i="6"/>
  <c r="H32" i="6"/>
  <c r="L32" i="6"/>
  <c r="J32" i="6"/>
  <c r="I32" i="6"/>
  <c r="J28" i="6"/>
  <c r="N28" i="6"/>
  <c r="I28" i="6"/>
  <c r="I23" i="6"/>
  <c r="O23" i="6"/>
  <c r="M23" i="6"/>
  <c r="H23" i="6"/>
  <c r="L23" i="6"/>
  <c r="F44" i="6"/>
  <c r="M22" i="6"/>
  <c r="L22" i="6"/>
  <c r="O22" i="6"/>
  <c r="I22" i="6"/>
  <c r="H22" i="6"/>
  <c r="L36" i="6"/>
  <c r="J36" i="6"/>
  <c r="L42" i="6"/>
  <c r="K42" i="6"/>
  <c r="N42" i="6"/>
  <c r="M21" i="6"/>
  <c r="L21" i="6"/>
  <c r="O21" i="6"/>
  <c r="H21" i="6"/>
  <c r="I21" i="6"/>
  <c r="J27" i="6"/>
  <c r="N27" i="6"/>
  <c r="I27" i="6"/>
  <c r="O17" i="6"/>
  <c r="N17" i="6"/>
  <c r="M17" i="6"/>
  <c r="K17" i="6"/>
  <c r="J17" i="6"/>
  <c r="H17" i="6"/>
  <c r="N29" i="6"/>
  <c r="I29" i="6"/>
  <c r="J29" i="6"/>
  <c r="O12" i="6"/>
  <c r="I12" i="6"/>
  <c r="I18" i="6"/>
  <c r="H18" i="6"/>
  <c r="O18" i="6"/>
  <c r="M18" i="6"/>
  <c r="L18" i="6"/>
  <c r="J18" i="6"/>
  <c r="K18" i="6"/>
  <c r="K24" i="6"/>
  <c r="J24" i="6"/>
  <c r="O24" i="6"/>
  <c r="L24" i="6"/>
  <c r="I24" i="6"/>
  <c r="M24" i="6"/>
  <c r="H24" i="6"/>
  <c r="E45" i="6"/>
  <c r="E30" i="6" l="1"/>
  <c r="E44" i="6"/>
  <c r="E46" i="6"/>
  <c r="E35" i="6"/>
  <c r="I35" i="4"/>
  <c r="J35" i="4" s="1"/>
  <c r="E31" i="6"/>
  <c r="I31" i="4"/>
  <c r="J31" i="4" s="1"/>
  <c r="G40" i="6"/>
  <c r="F40" i="6"/>
  <c r="D40" i="6"/>
  <c r="E34" i="6"/>
  <c r="I34" i="4"/>
  <c r="J34" i="4" s="1"/>
  <c r="G39" i="6"/>
  <c r="F39" i="6"/>
  <c r="D39" i="6"/>
  <c r="G42" i="6"/>
  <c r="F42" i="6"/>
  <c r="D42" i="6"/>
  <c r="G36" i="6"/>
  <c r="F36" i="6"/>
  <c r="D36" i="6"/>
  <c r="E43" i="6"/>
  <c r="I43" i="4"/>
  <c r="J43" i="4" s="1"/>
  <c r="G26" i="6"/>
  <c r="F26" i="6"/>
  <c r="D26" i="6"/>
  <c r="I26" i="4" s="1"/>
  <c r="J26" i="4" s="1"/>
  <c r="G25" i="6"/>
  <c r="F25" i="6"/>
  <c r="D25" i="6"/>
  <c r="I25" i="4" s="1"/>
  <c r="J25" i="4" s="1"/>
  <c r="G24" i="6"/>
  <c r="F24" i="6"/>
  <c r="D24" i="6"/>
  <c r="I24" i="4" s="1"/>
  <c r="J24" i="4" s="1"/>
  <c r="G23" i="6"/>
  <c r="F23" i="6"/>
  <c r="D23" i="6"/>
  <c r="I23" i="4" s="1"/>
  <c r="J23" i="4" s="1"/>
  <c r="G22" i="6"/>
  <c r="F22" i="6"/>
  <c r="D22" i="6"/>
  <c r="I22" i="4" s="1"/>
  <c r="J22" i="4" s="1"/>
  <c r="G21" i="6"/>
  <c r="F21" i="6"/>
  <c r="D21" i="6"/>
  <c r="I21" i="4" s="1"/>
  <c r="J21" i="4" s="1"/>
  <c r="G20" i="6"/>
  <c r="F20" i="6"/>
  <c r="D20" i="6"/>
  <c r="I20" i="4" s="1"/>
  <c r="J20" i="4" s="1"/>
  <c r="G19" i="6"/>
  <c r="F19" i="6"/>
  <c r="D19" i="6"/>
  <c r="I19" i="4" s="1"/>
  <c r="J19" i="4" s="1"/>
  <c r="G18" i="6"/>
  <c r="F18" i="6"/>
  <c r="D18" i="6"/>
  <c r="I18" i="4" s="1"/>
  <c r="J18" i="4" s="1"/>
  <c r="G17" i="6"/>
  <c r="F17" i="6"/>
  <c r="D17" i="6"/>
  <c r="I17" i="4" s="1"/>
  <c r="J17" i="4" s="1"/>
  <c r="G16" i="6"/>
  <c r="F16" i="6"/>
  <c r="D16" i="6"/>
  <c r="I16" i="4" s="1"/>
  <c r="J16" i="4" s="1"/>
  <c r="G15" i="6"/>
  <c r="F15" i="6"/>
  <c r="D15" i="6"/>
  <c r="I15" i="4" s="1"/>
  <c r="J15" i="4" s="1"/>
  <c r="G14" i="6"/>
  <c r="F14" i="6"/>
  <c r="D14" i="6"/>
  <c r="I14" i="4" s="1"/>
  <c r="J14" i="4" s="1"/>
  <c r="G13" i="6"/>
  <c r="F13" i="6"/>
  <c r="D13" i="6"/>
  <c r="I13" i="4" s="1"/>
  <c r="J13" i="4" s="1"/>
  <c r="G12" i="6"/>
  <c r="F12" i="6"/>
  <c r="D12" i="6"/>
  <c r="I12" i="4" s="1"/>
  <c r="J12" i="4" s="1"/>
  <c r="G11" i="6"/>
  <c r="F11" i="6"/>
  <c r="D11" i="6"/>
  <c r="I11" i="4" s="1"/>
  <c r="J11" i="4" s="1"/>
  <c r="G10" i="6"/>
  <c r="F10" i="6"/>
  <c r="D10" i="6"/>
  <c r="I10" i="4" s="1"/>
  <c r="J10" i="4" s="1"/>
  <c r="G9" i="6"/>
  <c r="F9" i="6"/>
  <c r="D9" i="6"/>
  <c r="E8" i="6"/>
  <c r="I9" i="4" l="1"/>
  <c r="J9" i="4" s="1"/>
  <c r="E42" i="6"/>
  <c r="I42" i="4"/>
  <c r="J42" i="4" s="1"/>
  <c r="E39" i="6"/>
  <c r="I39" i="4"/>
  <c r="J39" i="4" s="1"/>
  <c r="E40" i="6"/>
  <c r="I40" i="4"/>
  <c r="J40" i="4" s="1"/>
  <c r="I36" i="4"/>
  <c r="J36" i="4" s="1"/>
  <c r="E36" i="6"/>
  <c r="E10" i="6"/>
  <c r="E19" i="6"/>
  <c r="E20" i="6"/>
  <c r="E24" i="6"/>
  <c r="E21" i="6"/>
  <c r="E25" i="6"/>
  <c r="E9" i="6"/>
  <c r="E13" i="6"/>
  <c r="E23" i="6"/>
  <c r="E17" i="6"/>
  <c r="E14" i="6"/>
  <c r="E18" i="6"/>
  <c r="E22" i="6"/>
  <c r="E26" i="6"/>
  <c r="E11" i="6"/>
  <c r="E15" i="6"/>
  <c r="E12" i="6"/>
  <c r="E16" i="6"/>
  <c r="F8" i="6" l="1"/>
  <c r="G8" i="6"/>
  <c r="A2" i="6" l="1"/>
  <c r="A1" i="6"/>
  <c r="A2" i="4" l="1"/>
  <c r="A1" i="4"/>
  <c r="J11" i="18" l="1"/>
  <c r="H125" i="9" l="1"/>
  <c r="H126" i="9"/>
  <c r="E125" i="9"/>
  <c r="M126" i="9" l="1"/>
  <c r="M125" i="9"/>
  <c r="E125" i="14"/>
  <c r="H90" i="14"/>
  <c r="Q90" i="14" s="1"/>
  <c r="H87" i="14"/>
  <c r="Q87" i="14" s="1"/>
  <c r="M118" i="14" l="1"/>
  <c r="Q118" i="14" s="1"/>
  <c r="M121" i="14"/>
  <c r="Q121" i="14" s="1"/>
  <c r="M8" i="14"/>
  <c r="M95" i="14"/>
  <c r="Q95" i="14" s="1"/>
  <c r="M109" i="14"/>
  <c r="M83" i="14"/>
  <c r="M59" i="14"/>
  <c r="H125" i="14"/>
  <c r="F100" i="10"/>
  <c r="G100" i="10" s="1"/>
  <c r="I100" i="10" s="1"/>
  <c r="Q59" i="14" l="1"/>
  <c r="F25" i="10" s="1"/>
  <c r="G25" i="10" s="1"/>
  <c r="I25" i="10" s="1"/>
  <c r="F99" i="10"/>
  <c r="G99" i="10" s="1"/>
  <c r="I99" i="10" s="1"/>
  <c r="Q83" i="14"/>
  <c r="Q109" i="14"/>
  <c r="F11" i="18" s="1"/>
  <c r="M125" i="14"/>
  <c r="F27" i="16"/>
  <c r="H27" i="16" s="1"/>
  <c r="J27" i="16" s="1"/>
  <c r="F81" i="10"/>
  <c r="G81" i="10" s="1"/>
  <c r="I81" i="10" s="1"/>
  <c r="F12" i="17"/>
  <c r="H12" i="17" s="1"/>
  <c r="F37" i="10"/>
  <c r="G37" i="10" s="1"/>
  <c r="I37" i="10" s="1"/>
  <c r="F80" i="10"/>
  <c r="G80" i="10" s="1"/>
  <c r="I80" i="10" s="1"/>
  <c r="F11" i="10"/>
  <c r="G11" i="10" s="1"/>
  <c r="F123" i="10"/>
  <c r="G123" i="10" s="1"/>
  <c r="F16" i="16"/>
  <c r="H16" i="16" s="1"/>
  <c r="J16" i="16" s="1"/>
  <c r="N63" i="9"/>
  <c r="G40" i="4" l="1"/>
  <c r="H40" i="4" s="1"/>
  <c r="G8" i="4"/>
  <c r="H8" i="4" s="1"/>
  <c r="I123" i="10"/>
  <c r="I11" i="10"/>
  <c r="G37" i="4"/>
  <c r="H37" i="4" s="1"/>
  <c r="G38" i="4"/>
  <c r="H38" i="4" s="1"/>
  <c r="J12" i="17"/>
  <c r="N63" i="14"/>
  <c r="P63" i="9"/>
  <c r="Q63" i="9" s="1"/>
  <c r="P63" i="14" l="1"/>
  <c r="Q63" i="14" s="1"/>
  <c r="F72" i="10" l="1"/>
  <c r="G72" i="10" s="1"/>
  <c r="F53" i="10"/>
  <c r="G53" i="10" s="1"/>
  <c r="I53" i="10" s="1"/>
  <c r="F42" i="10"/>
  <c r="G42" i="10" s="1"/>
  <c r="L17" i="10" l="1"/>
  <c r="G17" i="4"/>
  <c r="H17" i="4" s="1"/>
  <c r="G16" i="4"/>
  <c r="H16" i="4" s="1"/>
  <c r="L12" i="10"/>
  <c r="G23" i="4"/>
  <c r="H23" i="4" s="1"/>
  <c r="L15" i="10"/>
  <c r="G22" i="4"/>
  <c r="H22" i="4" s="1"/>
  <c r="G21" i="4"/>
  <c r="H21" i="4" s="1"/>
  <c r="L19" i="10"/>
  <c r="H46" i="4"/>
  <c r="H45" i="4"/>
  <c r="H43" i="4"/>
  <c r="H44" i="4"/>
  <c r="I42" i="10"/>
  <c r="I72" i="10"/>
  <c r="O38" i="9" l="1"/>
  <c r="O38" i="14" l="1"/>
  <c r="P38" i="9"/>
  <c r="Q38" i="9" l="1"/>
  <c r="P38" i="14"/>
  <c r="Q38" i="14" s="1"/>
  <c r="F51" i="10" l="1"/>
  <c r="G51" i="10" s="1"/>
  <c r="F11" i="16"/>
  <c r="H11" i="16" s="1"/>
  <c r="M12" i="16" s="1"/>
  <c r="F19" i="16"/>
  <c r="H19" i="16" s="1"/>
  <c r="F24" i="10"/>
  <c r="G24" i="10" s="1"/>
  <c r="I24" i="10" s="1"/>
  <c r="G142" i="9"/>
  <c r="H142" i="9" s="1"/>
  <c r="Q142" i="9" s="1"/>
  <c r="G19" i="4" l="1"/>
  <c r="H19" i="4" s="1"/>
  <c r="G18" i="4"/>
  <c r="H18" i="4" s="1"/>
  <c r="L13" i="10"/>
  <c r="J19" i="16"/>
  <c r="J11" i="16"/>
  <c r="G12" i="4"/>
  <c r="G13" i="4"/>
  <c r="I51" i="10"/>
  <c r="H13" i="4" l="1"/>
  <c r="H12" i="4"/>
  <c r="O110" i="9"/>
  <c r="O110" i="14" l="1"/>
  <c r="N110" i="9"/>
  <c r="N110" i="14" s="1"/>
  <c r="P110" i="9" l="1"/>
  <c r="Q110" i="9" l="1"/>
  <c r="P126" i="9"/>
  <c r="P125" i="9"/>
  <c r="P110" i="14"/>
  <c r="Q110" i="14" l="1"/>
  <c r="F114" i="10" s="1"/>
  <c r="G114" i="10" s="1"/>
  <c r="L21" i="10"/>
  <c r="P106" i="14"/>
  <c r="P8" i="14"/>
  <c r="Q8" i="14" s="1"/>
  <c r="P120" i="14"/>
  <c r="P16" i="14"/>
  <c r="P102" i="14"/>
  <c r="Q102" i="14" s="1"/>
  <c r="L20" i="10" l="1"/>
  <c r="I114" i="10"/>
  <c r="G36" i="4"/>
  <c r="H36" i="4" s="1"/>
  <c r="Q16" i="14"/>
  <c r="F96" i="10" s="1"/>
  <c r="G96" i="10" s="1"/>
  <c r="Q106" i="14"/>
  <c r="F25" i="16" s="1"/>
  <c r="H25" i="16" s="1"/>
  <c r="Q120" i="14"/>
  <c r="F19" i="10" s="1"/>
  <c r="G19" i="10" s="1"/>
  <c r="L10" i="10"/>
  <c r="L16" i="10"/>
  <c r="P125" i="14"/>
  <c r="L18" i="10" l="1"/>
  <c r="I96" i="10"/>
  <c r="G31" i="4"/>
  <c r="H31" i="4" s="1"/>
  <c r="G30" i="4"/>
  <c r="H30" i="4" s="1"/>
  <c r="M11" i="16"/>
  <c r="J25" i="16"/>
  <c r="G14" i="4"/>
  <c r="H14" i="4" s="1"/>
  <c r="G15" i="4"/>
  <c r="H15" i="4" s="1"/>
  <c r="L11" i="10"/>
  <c r="G9" i="4"/>
  <c r="H9" i="4" s="1"/>
  <c r="I19" i="10"/>
  <c r="G10" i="4"/>
  <c r="H10" i="4" s="1"/>
  <c r="K41" i="6" l="1"/>
  <c r="K32" i="6"/>
  <c r="K29" i="6"/>
  <c r="K28" i="6"/>
  <c r="K27" i="6"/>
  <c r="F27" i="6" l="1"/>
  <c r="G27" i="6"/>
  <c r="D27" i="6"/>
  <c r="G29" i="6"/>
  <c r="F29" i="6"/>
  <c r="D29" i="6"/>
  <c r="G32" i="6"/>
  <c r="F32" i="6"/>
  <c r="D32" i="6"/>
  <c r="F37" i="6"/>
  <c r="G37" i="6"/>
  <c r="D37" i="6"/>
  <c r="D38" i="6"/>
  <c r="F38" i="6"/>
  <c r="G38" i="6"/>
  <c r="G28" i="6"/>
  <c r="F28" i="6"/>
  <c r="D28" i="6"/>
  <c r="D41" i="6"/>
  <c r="G41" i="6"/>
  <c r="F41" i="6"/>
  <c r="E38" i="6" l="1"/>
  <c r="I38" i="4"/>
  <c r="J38" i="4" s="1"/>
  <c r="I29" i="4"/>
  <c r="J29" i="4" s="1"/>
  <c r="E29" i="6"/>
  <c r="I32" i="4"/>
  <c r="J32" i="4" s="1"/>
  <c r="E32" i="6"/>
  <c r="I27" i="4"/>
  <c r="J27" i="4" s="1"/>
  <c r="E27" i="6"/>
  <c r="E41" i="6"/>
  <c r="I41" i="4"/>
  <c r="J41" i="4" s="1"/>
  <c r="E37" i="6"/>
  <c r="I37" i="4"/>
  <c r="J37" i="4" s="1"/>
  <c r="I28" i="4"/>
  <c r="J28" i="4" s="1"/>
  <c r="E28" i="6"/>
</calcChain>
</file>

<file path=xl/sharedStrings.xml><?xml version="1.0" encoding="utf-8"?>
<sst xmlns="http://schemas.openxmlformats.org/spreadsheetml/2006/main" count="2293" uniqueCount="527">
  <si>
    <t>Description</t>
  </si>
  <si>
    <t>Average of Other State Medicaid Rates</t>
  </si>
  <si>
    <t>Utah as % of Other State Medicaid Rates</t>
  </si>
  <si>
    <t>Arizona</t>
  </si>
  <si>
    <t>Colorado</t>
  </si>
  <si>
    <t>Idaho</t>
  </si>
  <si>
    <t>Montana</t>
  </si>
  <si>
    <t>Nevada</t>
  </si>
  <si>
    <t>New Mexico</t>
  </si>
  <si>
    <t>Wyoming</t>
  </si>
  <si>
    <t>Medicaid Rate Study</t>
  </si>
  <si>
    <t>Cover Sheet</t>
  </si>
  <si>
    <t>Tabs</t>
  </si>
  <si>
    <t>Cover</t>
  </si>
  <si>
    <t>A-1</t>
  </si>
  <si>
    <t>A-2</t>
  </si>
  <si>
    <t>Cost Coverage</t>
  </si>
  <si>
    <t>MEI Inflation (since rate increase)</t>
  </si>
  <si>
    <t>Other State Comparison</t>
  </si>
  <si>
    <t>Medicaid Comparison</t>
  </si>
  <si>
    <t>Highest State Rate</t>
  </si>
  <si>
    <t>Lowest State Rate</t>
  </si>
  <si>
    <t>Average of Border States Compared to Utah</t>
  </si>
  <si>
    <t>A-5</t>
  </si>
  <si>
    <t>Utah Department of Health &amp; Human Services, Office of Reimbursement, Coordinated Care &amp; Audit</t>
  </si>
  <si>
    <t>Utah Medicaid Rate</t>
  </si>
  <si>
    <t xml:space="preserve">Utah as % of Cost </t>
  </si>
  <si>
    <t>Waiver</t>
  </si>
  <si>
    <t>Utah
Rate</t>
  </si>
  <si>
    <t>Executive Table</t>
  </si>
  <si>
    <t>Agency Name</t>
  </si>
  <si>
    <t>Direct Service Staff Wages</t>
  </si>
  <si>
    <t>Direct Service Staff Hours</t>
  </si>
  <si>
    <t>Calculated Hourly Wage Expense</t>
  </si>
  <si>
    <t>Total Expenses</t>
  </si>
  <si>
    <t>Total Administrative &amp; General Expenses</t>
  </si>
  <si>
    <t>Total Wage Expense 
(All Employees)</t>
  </si>
  <si>
    <t>Total Employee Benefits Expense 
(All Employees)</t>
  </si>
  <si>
    <t>Total Hourly Cost</t>
  </si>
  <si>
    <t>Direct Care Supervisor Wages</t>
  </si>
  <si>
    <t>Contracted Labor</t>
  </si>
  <si>
    <t>Other Non-Wage Expenses</t>
  </si>
  <si>
    <t>Average</t>
  </si>
  <si>
    <t>Hourly Cost Calculation</t>
  </si>
  <si>
    <t>Calculated Employee Related Expense 
(ERE %)</t>
  </si>
  <si>
    <t>Calculated Program Related Expense 
(PRE %)</t>
  </si>
  <si>
    <t>Calculated Administrative &amp; General Expense 
(A&amp;G %)</t>
  </si>
  <si>
    <t>Cost per Unit Billed</t>
  </si>
  <si>
    <t>H0034</t>
  </si>
  <si>
    <t>H0038</t>
  </si>
  <si>
    <t>H0043</t>
  </si>
  <si>
    <t>H0045</t>
  </si>
  <si>
    <t>S5102</t>
  </si>
  <si>
    <t>S5125</t>
  </si>
  <si>
    <t>S5130</t>
  </si>
  <si>
    <t>S5135</t>
  </si>
  <si>
    <t>S5150</t>
  </si>
  <si>
    <t>S5170</t>
  </si>
  <si>
    <t>T1000</t>
  </si>
  <si>
    <t>T1005</t>
  </si>
  <si>
    <t>T1016</t>
  </si>
  <si>
    <t>T1019</t>
  </si>
  <si>
    <t>T1021</t>
  </si>
  <si>
    <t>T1027</t>
  </si>
  <si>
    <t>T2003</t>
  </si>
  <si>
    <t>T2016</t>
  </si>
  <si>
    <t>T2017</t>
  </si>
  <si>
    <t>T2031</t>
  </si>
  <si>
    <t>T2033</t>
  </si>
  <si>
    <t>T2040</t>
  </si>
  <si>
    <t>Medication Administration</t>
  </si>
  <si>
    <t>Personal Budget Assistance</t>
  </si>
  <si>
    <t>Homemaker Services</t>
  </si>
  <si>
    <t>Case Management</t>
  </si>
  <si>
    <t>Habilitation Services</t>
  </si>
  <si>
    <t>Financial Management Services</t>
  </si>
  <si>
    <t>ABILITY AND CHOICE SERVICES</t>
  </si>
  <si>
    <t>LEGACY VILLAGE OF PROVO</t>
  </si>
  <si>
    <t>HEBER VALLEY ASSISTED LIVING</t>
  </si>
  <si>
    <t>JANES HELPING HANDS LLC</t>
  </si>
  <si>
    <t>A GENTLE TOUCH HOME CARE</t>
  </si>
  <si>
    <t>MONROE CANYON ASSISTED LIVING</t>
  </si>
  <si>
    <t>RAINTREE SENIOR LIVING</t>
  </si>
  <si>
    <t>BEEHIVE STATE PAYEE</t>
  </si>
  <si>
    <t>ROSECREST ASSISTED LIVING</t>
  </si>
  <si>
    <t>BEEHIVE HOMES OF VERNAL</t>
  </si>
  <si>
    <t>BEEHIVE HOMES OF NAPLES</t>
  </si>
  <si>
    <t>BEEHIVE HOMES OF MAESER</t>
  </si>
  <si>
    <t>BRIGHTSTAR CARE MOUNTAINSIDE</t>
  </si>
  <si>
    <t>NANUMAS TENDOR LOVE HOMECARE</t>
  </si>
  <si>
    <t>HEALTH WATCH PROVO</t>
  </si>
  <si>
    <t>ADVOCATES FOR INDEPENDENCE</t>
  </si>
  <si>
    <t>I CARE HOME HLTH HOSPICE</t>
  </si>
  <si>
    <t>TURN COMMUNITY SERVICES</t>
  </si>
  <si>
    <t>ROCKY MOUNTAIN CARE - GROVE CREEK ASSISTED LIVING</t>
  </si>
  <si>
    <t>BEEHIVE HOMES OF SALT LAKE CITY</t>
  </si>
  <si>
    <t>COMFORCARE NORTHERN UT NC</t>
  </si>
  <si>
    <t>AVAMERE AT MOUNTAIN RIDGE</t>
  </si>
  <si>
    <t>PHOENIX SERVICES CORPORATION</t>
  </si>
  <si>
    <t>TRANSITIONS</t>
  </si>
  <si>
    <t>ROCKY MOUNTAIN CARE - LANDMARK ASSISTED LIVING</t>
  </si>
  <si>
    <t>Rocky Mountain Care - Haven Creek Manager LLC</t>
  </si>
  <si>
    <t>ROCKY MOUNTAIN CARE - RIVER POINTE ASSISTED LIVING</t>
  </si>
  <si>
    <t>SARAH DAFT HOME</t>
  </si>
  <si>
    <t>ROCKY MOUNTAIN CARE - SPRING HOLLOW ASSISTED LIVING AND MEMORY CARE</t>
  </si>
  <si>
    <t>MONARCH SUPPORTS &amp; SERVICES</t>
  </si>
  <si>
    <t>FOUNDATIONS FOR INDPENDENCE</t>
  </si>
  <si>
    <t>GARDENS ASSISTED LIVING</t>
  </si>
  <si>
    <t>APPLE VILLAGE ASSISTED LIVING</t>
  </si>
  <si>
    <t>JEWELS LEGACY GARDEN</t>
  </si>
  <si>
    <t>SEGO LILY ASSISTED LIVING</t>
  </si>
  <si>
    <t>GABLES OF BRIGHAM CITY</t>
  </si>
  <si>
    <t>GABLES OF N LOGAN ASSIST LIVING</t>
  </si>
  <si>
    <t>ROCKY MTN PERSONAL CARE AW</t>
  </si>
  <si>
    <t>ZIONS WAY HOME HEALTH</t>
  </si>
  <si>
    <t>LIVE EMPOWERED</t>
  </si>
  <si>
    <t>RIDGEVIEW GARDENS ASST LVG</t>
  </si>
  <si>
    <t>ROCKY MTN CARE CLEARFIELD</t>
  </si>
  <si>
    <t>DEVENIR SUPPORTS</t>
  </si>
  <si>
    <t>OUR HOUSE OF TOOELE</t>
  </si>
  <si>
    <t>BIRCH CREEK ASSISTED LIVING</t>
  </si>
  <si>
    <t>TRADITION ASSISTED LIVING</t>
  </si>
  <si>
    <t>BLACKSMITH FORK ASSISTED LIVING</t>
  </si>
  <si>
    <t>WILLIAMSBURG RETIREMENT COMMUNITY</t>
  </si>
  <si>
    <t>CACHE VALLEY ASSISTED LIV</t>
  </si>
  <si>
    <t>HELPERLY</t>
  </si>
  <si>
    <t>TENNEY OHANA CARE</t>
  </si>
  <si>
    <t>SPRING GARDENS HEBER</t>
  </si>
  <si>
    <t>SPRING GARDENS MAPLETON</t>
  </si>
  <si>
    <t>SUNRIDGE ASSISTED LIVING OF ROY</t>
  </si>
  <si>
    <t>SPRING GARDENS MIDVALE OPCO LLC</t>
  </si>
  <si>
    <t>SUNRIDGE ASSISTED LIVING OF LAYTON</t>
  </si>
  <si>
    <t>SPRING GARDENS OF LINDON</t>
  </si>
  <si>
    <t>SPRING GARDENS OF ST. GEORGE</t>
  </si>
  <si>
    <t>RIVERWAY ASSISTED LIVING</t>
  </si>
  <si>
    <t>FAMILY CARE DSPD</t>
  </si>
  <si>
    <t>THE BEAUMONT</t>
  </si>
  <si>
    <t>OUR HOUSE OF OGDEN</t>
  </si>
  <si>
    <t>OUR HOUSE OF TREMONTON</t>
  </si>
  <si>
    <t>SUNRIDGE ASSISTED LIVING</t>
  </si>
  <si>
    <t>MOANA SUPPORT LLC</t>
  </si>
  <si>
    <t>NIITSUMA LIVING CENTER AW</t>
  </si>
  <si>
    <t>OUR HOUSE OF CEDAR CITY</t>
  </si>
  <si>
    <t>WHISPER COVE ASSISTED LIVING AND MEMORY CARE</t>
  </si>
  <si>
    <t>ACUMEN FISCAL AGENT</t>
  </si>
  <si>
    <t>LEGACY HOUSE OF LOGAN</t>
  </si>
  <si>
    <t>LEGACY HOUSE OF OGDEN</t>
  </si>
  <si>
    <t>LEGACY HOUSE OF BOUNTIFUL</t>
  </si>
  <si>
    <t>LEGACY HOUSE ASSISTED LIV</t>
  </si>
  <si>
    <t>LEGACY HOUSE TAYLORSVILLE</t>
  </si>
  <si>
    <t>LEGACY HOUSE OF SPANISH FRK</t>
  </si>
  <si>
    <t>LEGACY HOUSE OF PARK LANE</t>
  </si>
  <si>
    <t>LEGACY RETIREMENT CENTER</t>
  </si>
  <si>
    <t>LEGACY VILLAGE HEALTHCARE</t>
  </si>
  <si>
    <t>LEGACY VILLAGE OF ST. GEORGE LLC</t>
  </si>
  <si>
    <t>BROOKLYN CREEK</t>
  </si>
  <si>
    <t>Morning Sun Financial Services of Utah LLC</t>
  </si>
  <si>
    <t>GUNNISON VALLEY HHA AW</t>
  </si>
  <si>
    <t>COUNTRY VIEW ASSIST LVNG</t>
  </si>
  <si>
    <t>RMHC Blanding</t>
  </si>
  <si>
    <t>FLEXCARE VALLEY MENTAL HLTH</t>
  </si>
  <si>
    <t>SUPERIOR CARE DSPD</t>
  </si>
  <si>
    <t>SANPETE COMMUNITY TRAINING CENTER</t>
  </si>
  <si>
    <t>MISSION AT COMM LIV REHAB</t>
  </si>
  <si>
    <t>CARE ADVOCATES LLC</t>
  </si>
  <si>
    <t>MY HEROES</t>
  </si>
  <si>
    <t>TKJ LLC DSPD</t>
  </si>
  <si>
    <t>PERFECT STAY GROUP DSPD</t>
  </si>
  <si>
    <t>SIX COUNTY AAA AW</t>
  </si>
  <si>
    <t>ALOFA CARE, LLC</t>
  </si>
  <si>
    <t>GOOD LIFE SENIOR LIVING</t>
  </si>
  <si>
    <t>PREMIER FINANCIAL MANAGEMENT SERVICES</t>
  </si>
  <si>
    <t>CHRYSALIS UTAH</t>
  </si>
  <si>
    <t>CORNERSTONE CARE &amp; FAMILY SERVICES LLC</t>
  </si>
  <si>
    <t>DE NOVO SERVICES</t>
  </si>
  <si>
    <t>HIDDEN VALLEY AL</t>
  </si>
  <si>
    <t>LIFE INCLUDED</t>
  </si>
  <si>
    <t>RMHC Price</t>
  </si>
  <si>
    <t>COTTAGE GLEN ASSISTED LIV</t>
  </si>
  <si>
    <t>RMHC St George</t>
  </si>
  <si>
    <t>RMC The Lodge</t>
  </si>
  <si>
    <t>RMC Willow Springs</t>
  </si>
  <si>
    <t>CHP LAYTON UT TENANT CORP</t>
  </si>
  <si>
    <t>EATON ALLIANCE INC</t>
  </si>
  <si>
    <t>FAMILY HAVEN ENTERPRISES, L.L.C.</t>
  </si>
  <si>
    <t>COUNTRY CARE II</t>
  </si>
  <si>
    <t>PARKSIDE MANOR LLC</t>
  </si>
  <si>
    <t>PHEASANT HOLLOW VALLEY MNTL</t>
  </si>
  <si>
    <t>DANVILLE SERVICES OF UTAH</t>
  </si>
  <si>
    <t>AUGUST SUN LLC</t>
  </si>
  <si>
    <t>SAFE HARBOR INDIVIDUAL AND FAMILY CARE</t>
  </si>
  <si>
    <t>COMMUNITY OPTIONS</t>
  </si>
  <si>
    <t>HOMESTYLE DIRECT AW</t>
  </si>
  <si>
    <t>FALEOFAZ LLC</t>
  </si>
  <si>
    <t>LLOYD, WENDY</t>
  </si>
  <si>
    <t>DOTS CARE</t>
  </si>
  <si>
    <t>HAVEN VIEW</t>
  </si>
  <si>
    <t>LIFE SOLUTIONS MANAGEMENT</t>
  </si>
  <si>
    <t>QUALITY SUPPORT SOLUTIONS</t>
  </si>
  <si>
    <t>TRAINING IN LIFE CHOICES, LLC</t>
  </si>
  <si>
    <t>PINEVIEW ASSISTED LIVING OF EDEN</t>
  </si>
  <si>
    <t>STONEY BROOKE OF RIVERDALE</t>
  </si>
  <si>
    <t>RISE SERVICES, INC.</t>
  </si>
  <si>
    <t>DAVIS COUNTY AGING SRVC AW</t>
  </si>
  <si>
    <t>SAFE HAVEN FAMILY SERVICES</t>
  </si>
  <si>
    <t>LIFE SKILLS AND INDIVIDUAL NEEDS CENTER</t>
  </si>
  <si>
    <t>UTAH PAYEE SERVICES, LLC</t>
  </si>
  <si>
    <t>BRIGHTWORK VILLA AMER FORK</t>
  </si>
  <si>
    <t>BRIGHTWORK VILLA PARK PLACE LLC</t>
  </si>
  <si>
    <t>NCW</t>
  </si>
  <si>
    <t>Aging</t>
  </si>
  <si>
    <t>MCCW</t>
  </si>
  <si>
    <t>TDW</t>
  </si>
  <si>
    <t>Date Last Rate Increase</t>
  </si>
  <si>
    <t>Procedure Code</t>
  </si>
  <si>
    <t>Adult Residential Services - Certified Independent Living Facility</t>
  </si>
  <si>
    <t>Respite Care - Overnight, Out of Home, Room &amp; Board included or Respite Care Services - LTC facility</t>
  </si>
  <si>
    <t>Adult Day Care (Adult Day Health) or Adult Day Health Services</t>
  </si>
  <si>
    <t>Attendant Care Services or Personal Attendant Service, Participant Employed</t>
  </si>
  <si>
    <t>Companion Care Adult</t>
  </si>
  <si>
    <t>Respite Care Services or Respite Care Services - Unskilled</t>
  </si>
  <si>
    <t>Home Delivered Meals or Supplemental Meals (Liquid and Solid)</t>
  </si>
  <si>
    <t>Extended State Plan Service - Private Duty Nursing</t>
  </si>
  <si>
    <t>Respite Care Services</t>
  </si>
  <si>
    <t>Personal Attendant Service; Agency Based</t>
  </si>
  <si>
    <t>Supportive Maintenance, Home Health Aide or Home Health Aide or Certified Nurse Assist</t>
  </si>
  <si>
    <t>Non-medical Transportation</t>
  </si>
  <si>
    <t>Adult Residential Services - (Licensed Assisted Living Facility, Memory Care Unit)</t>
  </si>
  <si>
    <t>Adult Residential Services (Assisted Living Facilities Level I, Level II, &amp; Type N Facilities)</t>
  </si>
  <si>
    <t>Adult Residential Services (Licensed Community Residential Care)</t>
  </si>
  <si>
    <t>Mileage Reimbursement/ Travel Costs</t>
  </si>
  <si>
    <t>Per Diem</t>
  </si>
  <si>
    <t>Per Meal</t>
  </si>
  <si>
    <t>Per Visit</t>
  </si>
  <si>
    <t>Summary Web Table - CMS Market Basket Index Levels and Four-Quarter Moving Average Percent Changes *</t>
  </si>
  <si>
    <t>Market Basket</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</si>
  <si>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</si>
  <si>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</si>
  <si>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</si>
  <si>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</si>
  <si>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</si>
  <si>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</si>
  <si>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</si>
  <si>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</si>
  <si>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</si>
  <si>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</si>
  <si>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</si>
  <si>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</si>
  <si>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</si>
  <si>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</si>
  <si>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</si>
  <si>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</si>
  <si>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</si>
  <si>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</si>
  <si>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</si>
  <si>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</si>
  <si>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</si>
  <si>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</si>
  <si>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</si>
  <si>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</si>
  <si>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</si>
  <si>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</si>
  <si>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</si>
  <si>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</si>
  <si>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</si>
  <si>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</si>
  <si>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</si>
  <si>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</si>
  <si>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</si>
  <si>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</si>
  <si>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</si>
  <si>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</si>
  <si>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</si>
  <si>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</si>
  <si>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</si>
  <si>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</si>
  <si>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</si>
  <si>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</si>
  <si>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</si>
  <si>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</si>
  <si>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</si>
  <si>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</si>
  <si>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</si>
  <si>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</si>
  <si>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</si>
  <si>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</si>
  <si>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</si>
  <si>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</si>
  <si>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</si>
  <si>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</si>
  <si>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</si>
  <si>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</si>
  <si>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</si>
  <si>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</si>
  <si>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</si>
  <si>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</si>
  <si>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</si>
  <si>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</si>
  <si>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</si>
  <si>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</si>
  <si>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</si>
  <si>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</si>
  <si>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</si>
  <si>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</si>
  <si>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</si>
  <si>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</si>
  <si>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</si>
  <si>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</si>
  <si>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</si>
  <si>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</si>
  <si>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</si>
  <si>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</si>
  <si>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</si>
  <si>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</si>
  <si>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</si>
  <si>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</si>
  <si>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</si>
  <si>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</si>
  <si>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</si>
  <si>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</si>
  <si>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</si>
  <si>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</si>
  <si>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</si>
  <si>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</si>
  <si>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</si>
  <si>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</si>
  <si>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</si>
  <si>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</si>
  <si>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</si>
  <si>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</si>
  <si>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</si>
  <si>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</si>
  <si>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</si>
  <si>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</si>
  <si>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</si>
  <si>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</si>
  <si>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2018-based Inpatient Hospital:</t>
  </si>
  <si>
    <t>Index Levels</t>
  </si>
  <si>
    <t>Four-Quarter Moving Average Percent Change</t>
  </si>
  <si>
    <t>2018-based Inpatient Hospital Capital:</t>
  </si>
  <si>
    <t>2022-based Skilled Nursing Facility:</t>
  </si>
  <si>
    <t>n/a</t>
  </si>
  <si>
    <t>2021-based Home Health Agency:</t>
  </si>
  <si>
    <t>2021-based Inpatient Rehabilitation Facility:</t>
  </si>
  <si>
    <t>2021-based Inpatient Psychiatric Facility:</t>
  </si>
  <si>
    <t>2022-based Long Term Care Hospital:</t>
  </si>
  <si>
    <t>2020-based End Stage Renal Disease:</t>
  </si>
  <si>
    <t>2022-based Federally Qualified Health Center:</t>
  </si>
  <si>
    <t xml:space="preserve">2017-based Medicare Economic Index: </t>
  </si>
  <si>
    <t>Four-Quarter Moving Average Percent Change with Productivity Adjustment</t>
  </si>
  <si>
    <t xml:space="preserve">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2023 productivity adjustment is aligned with the 2024Q2 percent change in the MEI. </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</si>
  <si>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</si>
  <si>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Source: IHS Global Inc. (IGI) 2024Q4 Forecast</t>
  </si>
  <si>
    <t>Historical Data through 2024Q3</t>
  </si>
  <si>
    <t>Released by CMS, OACT, National Health Statistics Group, dnhs@cms.hhs.gov</t>
  </si>
  <si>
    <t>04/15/2025</t>
  </si>
  <si>
    <t>No Data</t>
  </si>
  <si>
    <t>Exclude From Study</t>
  </si>
  <si>
    <t>Insufficient data</t>
  </si>
  <si>
    <t>Insufficient and disparate data</t>
  </si>
  <si>
    <t>SIX COUNTY AAA AW (Meals)</t>
  </si>
  <si>
    <t>Note A</t>
  </si>
  <si>
    <t>Comment</t>
  </si>
  <si>
    <t xml:space="preserve">Exclude </t>
  </si>
  <si>
    <t>Source</t>
  </si>
  <si>
    <t>HCBS RS Survey</t>
  </si>
  <si>
    <t>Excluded Survey Results</t>
  </si>
  <si>
    <t>Disparate Data</t>
  </si>
  <si>
    <t>Total Hourly Cost
(Hrly Wage + ERE + PRE + A&amp;G)</t>
  </si>
  <si>
    <t>Adjusted Average for ERE, PRE, and A&amp;G.</t>
  </si>
  <si>
    <t>MORNING SUN FINANCIAL SERVICES OF UTAH DSPD</t>
  </si>
  <si>
    <t>Code</t>
  </si>
  <si>
    <t>Total Estimated Hourly Cost
(Hrly Wage + ERE + PRE + A&amp;G)</t>
  </si>
  <si>
    <t>Unit</t>
  </si>
  <si>
    <t>15 Min</t>
  </si>
  <si>
    <t>Estimated Hrly Cost</t>
  </si>
  <si>
    <t>Units</t>
  </si>
  <si>
    <t>Total Cost for Service</t>
  </si>
  <si>
    <t>Adult Day Care (Adult Day Health) or Adult day health services</t>
  </si>
  <si>
    <t>Supportive Maintenance, home health aide or Home Health Aide or Certif Nurse Assist</t>
  </si>
  <si>
    <t>Ave Length of Visit
(Hours)</t>
  </si>
  <si>
    <t>Cost per Vist</t>
  </si>
  <si>
    <t>Units/Visits</t>
  </si>
  <si>
    <t>Unit Cost Calculation for Services Billed Per Visit.</t>
  </si>
  <si>
    <t>Non-medical transportation</t>
  </si>
  <si>
    <t>One Way Trip</t>
  </si>
  <si>
    <t>Ave Time for One Trip
(Minutes)</t>
  </si>
  <si>
    <t>Cost per Trip</t>
  </si>
  <si>
    <t>Units/Trips</t>
  </si>
  <si>
    <t>Unit Cost Calculation for Services Billed Per One-Way Trip.</t>
  </si>
  <si>
    <t>Cost per Meal</t>
  </si>
  <si>
    <t>Units/Meals</t>
  </si>
  <si>
    <t>Unit Cost Calculation for Services Billed Per Meal Delivered.</t>
  </si>
  <si>
    <t>The calculated cost for the two providers varied significantly due to the provided data. The determination of the per unit cost is presented below.</t>
  </si>
  <si>
    <t>SIX COUNTY AAA AW:</t>
  </si>
  <si>
    <t>Task</t>
  </si>
  <si>
    <t>Hrs</t>
  </si>
  <si>
    <t>Hrly Rate</t>
  </si>
  <si>
    <t>Cost per meal</t>
  </si>
  <si>
    <t>Adj Cost Per Meal</t>
  </si>
  <si>
    <t>Delivered</t>
  </si>
  <si>
    <t>Prepared</t>
  </si>
  <si>
    <t>The "Other Program" column represents the represented amount of meals prepared dedicated to a different program.</t>
  </si>
  <si>
    <t xml:space="preserve">Note: The hourly cost listed here for Six County is based on the hourly rate the provider represented meal preparation and delivery staff are paid. </t>
  </si>
  <si>
    <t>HOMESTYLE DIRECT AW:</t>
  </si>
  <si>
    <t xml:space="preserve">The provider reported total production costs and total meals prepared. </t>
  </si>
  <si>
    <t>Total direct wages reported</t>
  </si>
  <si>
    <t>Total contracted labor</t>
  </si>
  <si>
    <t>Total wages for supervisors</t>
  </si>
  <si>
    <t>Total costs</t>
  </si>
  <si>
    <t>Number of meals prepared per year</t>
  </si>
  <si>
    <t>Production costs (All but labor - labor needs added)</t>
  </si>
  <si>
    <t xml:space="preserve">The hourly cost for Six County is split because the provider represented the meal preparation and case management staff are paid at different rates. </t>
  </si>
  <si>
    <t>Monarch Supports and Services did not report wages, they only reported contracted labor expenses. The hourly rate included for Monarch is the calculated contracted hourly rate.</t>
  </si>
  <si>
    <t>Respite Care – Overnight, Out of Home, Room &amp; Board included or Respite Care Services – LTC facility</t>
  </si>
  <si>
    <t xml:space="preserve">Codes S5102 and H0045 are included in this calculation because they have a per visit quality that allows a similar method in calculating cost per unit. </t>
  </si>
  <si>
    <t>Total Census</t>
  </si>
  <si>
    <t>Total Room and Board</t>
  </si>
  <si>
    <t>Allowable Total Expenses</t>
  </si>
  <si>
    <t>Cost Per Unit</t>
  </si>
  <si>
    <t>Units/Medicaid Days</t>
  </si>
  <si>
    <t>Adult Residential Services – Certified Independent Living Facility</t>
  </si>
  <si>
    <t>Adult Residential Services – (Licensed Assisted Living Facility, Memory Care Unit)</t>
  </si>
  <si>
    <t>Adult Residential Services – (Licensed Community Residential Care)</t>
  </si>
  <si>
    <t>Unit Cost Calculation for Services Billed Per Day.</t>
  </si>
  <si>
    <t>ALL ABOUT HOME CARE</t>
  </si>
  <si>
    <t>APPLEGATE HOMECARE</t>
  </si>
  <si>
    <t>MORNING SUN FINANCIAL SERVICES OF UT</t>
  </si>
  <si>
    <t>ELEVATE HOME HEALTH</t>
  </si>
  <si>
    <t>STONEBRIDGE HOME CARE</t>
  </si>
  <si>
    <t>IVY LANE PEDIATRICS INC</t>
  </si>
  <si>
    <t>KIND HEARTS SENIOR CARE</t>
  </si>
  <si>
    <t>AFI ADVANCED CARE HOME HLTH</t>
  </si>
  <si>
    <t>COUNCIL ON AGING AW</t>
  </si>
  <si>
    <t>ENVISION QUALITY SUPPORTS</t>
  </si>
  <si>
    <t>FIRST CHOICE HOME HEALTH &amp; HOSPICE</t>
  </si>
  <si>
    <t>IRON COUNTY HOME HEALTH AGENCY</t>
  </si>
  <si>
    <t>SILVER LAKE HEALTHCARE AW</t>
  </si>
  <si>
    <t>No prior study data for codes H0045 or S5102.</t>
  </si>
  <si>
    <t>WEBER HUMAN SRVCS MACS</t>
  </si>
  <si>
    <t>ALTA RIDGE - SANDY MC</t>
  </si>
  <si>
    <t>APPLE VILLAGE ASSISTED LIV</t>
  </si>
  <si>
    <t>BEL AIRE SENIOR LIVING</t>
  </si>
  <si>
    <t>LEGACY HOUSE OF SOUTH JORDAN</t>
  </si>
  <si>
    <t>LEGACY VILLAGE OF TAYLORSVILLE</t>
  </si>
  <si>
    <t>OAK RIDGE OF BOUNTIFUL</t>
  </si>
  <si>
    <t>ALTA RIDGE - HOLLADAY</t>
  </si>
  <si>
    <t>ALTA RIDGE - SANDY AL</t>
  </si>
  <si>
    <t>HERITAGE SENIOR COMMUNITIES</t>
  </si>
  <si>
    <t>LEGACY HOUSE OF TAYLORSVILLE</t>
  </si>
  <si>
    <t>LOTUS PARK ASSISTED LIVING</t>
  </si>
  <si>
    <t>QUAIL MEADOW ASSISTED LIV</t>
  </si>
  <si>
    <t>SPRING WATER ASSISTED LIVING</t>
  </si>
  <si>
    <t>THE VILLAS AT BAER CREEK</t>
  </si>
  <si>
    <t>No prior study data for code T2033.</t>
  </si>
  <si>
    <t>Current Agencies Excluded from Results</t>
  </si>
  <si>
    <t>HCBS summary. Shown as Table 1 in the report.</t>
  </si>
  <si>
    <t>Total Cost for Meals</t>
  </si>
  <si>
    <t># Meals</t>
  </si>
  <si>
    <t>Other Programs</t>
  </si>
  <si>
    <t>Prior Study</t>
  </si>
  <si>
    <t>Niitsuma Living Center excluded from analysis due to due cost per visit significantly exceeding all other results for code H0045.</t>
  </si>
  <si>
    <t>Homemaker services</t>
  </si>
  <si>
    <t>Companion care adult</t>
  </si>
  <si>
    <t>Respite care services or Respite care services – Unskilled</t>
  </si>
  <si>
    <t>Personal attendant service, agency-based</t>
  </si>
  <si>
    <t>Respite care services</t>
  </si>
  <si>
    <t>Case management</t>
  </si>
  <si>
    <t>Attendant Care Services or Personal attendant service, participant employed</t>
  </si>
  <si>
    <t>Extended State Plan Service – Private Duty Nursing</t>
  </si>
  <si>
    <t>Medication Administration – Medication Set-up</t>
  </si>
  <si>
    <t>Family Training &amp; Counseling for child development</t>
  </si>
  <si>
    <r>
      <t>Family Training &amp; Counseling for Child Development</t>
    </r>
    <r>
      <rPr>
        <vertAlign val="superscript"/>
        <sz val="11"/>
        <color theme="1"/>
        <rFont val="Aptos Narrow"/>
        <family val="2"/>
        <scheme val="minor"/>
      </rPr>
      <t>1</t>
    </r>
  </si>
  <si>
    <r>
      <t>Respite Care Services</t>
    </r>
    <r>
      <rPr>
        <vertAlign val="superscript"/>
        <sz val="11"/>
        <color theme="1"/>
        <rFont val="Aptos Narrow"/>
        <family val="2"/>
        <scheme val="minor"/>
      </rPr>
      <t>2</t>
    </r>
  </si>
  <si>
    <r>
      <rPr>
        <vertAlign val="superscript"/>
        <sz val="11"/>
        <color theme="1"/>
        <rFont val="Aptos Narrow"/>
        <family val="2"/>
        <scheme val="minor"/>
      </rPr>
      <t>1</t>
    </r>
    <r>
      <rPr>
        <sz val="11"/>
        <color theme="1"/>
        <rFont val="Aptos Narrow"/>
        <family val="2"/>
        <scheme val="minor"/>
      </rPr>
      <t>The inflation calculation for code T1027 uses first quarter 2010 as the starting date, which is the earliest MEI inflation data are available.</t>
    </r>
  </si>
  <si>
    <r>
      <rPr>
        <vertAlign val="superscript"/>
        <sz val="11"/>
        <rFont val="Aptos Narrow"/>
        <family val="2"/>
        <scheme val="minor"/>
      </rPr>
      <t>2</t>
    </r>
    <r>
      <rPr>
        <sz val="11"/>
        <rFont val="Aptos Narrow"/>
        <family val="2"/>
        <scheme val="minor"/>
      </rPr>
      <t>The reimbursement rate for code T1005 varies from $59.64 per hour of service under the Aging Waiver to $14.91 per 15 min under the other waivers. As the hour rate of $59.64 is a multiple of $14.91 (14.91 x 4 = 59.64),</t>
    </r>
  </si>
  <si>
    <t>the reimbursement rate for T1005 under the Aging Waiver is presented at the 15 min unit value of $14.91 to ease of presentation.</t>
  </si>
  <si>
    <t>Hour</t>
  </si>
  <si>
    <t>Cost per 15 Min/Hour Unit</t>
  </si>
  <si>
    <t>Unit Cost Calculation for Services Billed at a 15 Minute or Hour Unit</t>
  </si>
  <si>
    <t>To prevent the outliers in the table above from distorting the hourly cost calculation, an adjusted average—excluding the identified outliers—has been computed. This adjusted average will be used to replace the outliers in the hourly cost calculation in tab A-3 Hourly Cost Calculation.</t>
  </si>
  <si>
    <t>Note B</t>
  </si>
  <si>
    <t>Note C</t>
  </si>
  <si>
    <t>Note B: This provider only reported contracted labor. Hourly rate based on reported contracted expenses and total hours.</t>
  </si>
  <si>
    <t xml:space="preserve">Note C: These providers did not provide hours worked. However, data were only reported for codes T2016 and T2031 (per diem codes). Per diem unit costs are determined without using the hourly cost. </t>
  </si>
  <si>
    <t xml:space="preserve">Note D:  This provider's hourly rate is unreasonable. However, data were only reported for code T2031 (per diem code). Per diem unit costs are determined without using the hourly cost. </t>
  </si>
  <si>
    <t>Note D</t>
  </si>
  <si>
    <t>Total hourly cost is determined by adding the respective percentages to the hourly wage. As presented above, some ERE, PRE, and A&amp;G results are unreasonable and have distorted the hourly cost calculation. Based on current and historical data, the following results are deemed unreasonable for the specified categories: ERE exceeding 50%, PRE exceeding 150%, and A&amp;G exceeding 90%.</t>
  </si>
  <si>
    <t>Light Green highlighted cells identify outliers that where replaced with the adjusted sample average calculated in tab A-2 Identify Outlier-Exclusion.</t>
  </si>
  <si>
    <t>Note A: A&amp;G Exceeds 100%. The A&amp;G percentage is replaced with the mean A&amp;G percentage excluding outliers in tab A-3 Hourly Cost Calculation.</t>
  </si>
  <si>
    <t>Facility hourly cost calculation.</t>
  </si>
  <si>
    <t>A-3</t>
  </si>
  <si>
    <t>A-4a</t>
  </si>
  <si>
    <t>A-4b</t>
  </si>
  <si>
    <t>A-4c</t>
  </si>
  <si>
    <t>A-4d</t>
  </si>
  <si>
    <t>A-4e</t>
  </si>
  <si>
    <t>2025 Home and Community Based Services (HCBS) - Exhibit A</t>
  </si>
  <si>
    <t>Identification of facilities excluded from the study along with facility hourly rates, Employment Related Expenses (ERE), Program Related Expenses (PRE), and Administrative and General (A&amp;G).</t>
  </si>
  <si>
    <t>Kentucky</t>
  </si>
  <si>
    <r>
      <t xml:space="preserve">Medication Administration </t>
    </r>
    <r>
      <rPr>
        <vertAlign val="superscript"/>
        <sz val="11"/>
        <rFont val="Aptos Narrow"/>
        <family val="2"/>
        <scheme val="minor"/>
      </rPr>
      <t>1</t>
    </r>
  </si>
  <si>
    <r>
      <rPr>
        <vertAlign val="superscript"/>
        <sz val="11"/>
        <color theme="1"/>
        <rFont val="Aptos Narrow"/>
        <family val="2"/>
        <scheme val="minor"/>
      </rPr>
      <t xml:space="preserve">1 </t>
    </r>
    <r>
      <rPr>
        <sz val="11"/>
        <color theme="1"/>
        <rFont val="Aptos Narrow"/>
        <family val="2"/>
        <scheme val="minor"/>
      </rPr>
      <t>A comparable service for code H0034 was not found in the surrounding states.</t>
    </r>
  </si>
  <si>
    <r>
      <rPr>
        <vertAlign val="superscript"/>
        <sz val="11"/>
        <color theme="1"/>
        <rFont val="Aptos Narrow"/>
        <family val="2"/>
        <scheme val="minor"/>
      </rPr>
      <t xml:space="preserve">3 </t>
    </r>
    <r>
      <rPr>
        <sz val="11"/>
        <color theme="1"/>
        <rFont val="Aptos Narrow"/>
        <family val="2"/>
        <scheme val="minor"/>
      </rPr>
      <t xml:space="preserve">Arizona's unit of service was not specified. Assumed a Per Meal unit. </t>
    </r>
  </si>
  <si>
    <r>
      <t xml:space="preserve">Homemaker Services </t>
    </r>
    <r>
      <rPr>
        <vertAlign val="superscript"/>
        <sz val="11"/>
        <color theme="1"/>
        <rFont val="Aptos Narrow"/>
        <family val="2"/>
        <scheme val="minor"/>
      </rPr>
      <t>2</t>
    </r>
  </si>
  <si>
    <r>
      <t xml:space="preserve">Home Delivered Meals or Supplemental Meals (Liquid and Solid) </t>
    </r>
    <r>
      <rPr>
        <vertAlign val="superscript"/>
        <sz val="11"/>
        <color theme="1"/>
        <rFont val="Aptos Narrow"/>
        <family val="2"/>
        <scheme val="minor"/>
      </rPr>
      <t>3</t>
    </r>
  </si>
  <si>
    <r>
      <t xml:space="preserve">Family Training &amp; Counseling for Child Development </t>
    </r>
    <r>
      <rPr>
        <vertAlign val="superscript"/>
        <sz val="11"/>
        <color theme="1"/>
        <rFont val="Aptos Narrow"/>
        <family val="2"/>
        <scheme val="minor"/>
      </rPr>
      <t>2, 4</t>
    </r>
  </si>
  <si>
    <r>
      <t xml:space="preserve">Non-medical Transportation </t>
    </r>
    <r>
      <rPr>
        <vertAlign val="superscript"/>
        <sz val="11"/>
        <color theme="1"/>
        <rFont val="Aptos Narrow"/>
        <family val="2"/>
        <scheme val="minor"/>
      </rPr>
      <t>5</t>
    </r>
  </si>
  <si>
    <r>
      <t xml:space="preserve">Habilitation Services </t>
    </r>
    <r>
      <rPr>
        <vertAlign val="superscript"/>
        <sz val="11"/>
        <color theme="1"/>
        <rFont val="Aptos Narrow"/>
        <family val="2"/>
        <scheme val="minor"/>
      </rPr>
      <t>6</t>
    </r>
  </si>
  <si>
    <r>
      <t xml:space="preserve">Adult Residential Services (Licensed Community Residential Care) </t>
    </r>
    <r>
      <rPr>
        <vertAlign val="superscript"/>
        <sz val="11"/>
        <color theme="1"/>
        <rFont val="Aptos Narrow"/>
        <family val="2"/>
        <scheme val="minor"/>
      </rPr>
      <t>7</t>
    </r>
  </si>
  <si>
    <r>
      <rPr>
        <vertAlign val="superscript"/>
        <sz val="11"/>
        <color theme="1"/>
        <rFont val="Aptos Narrow"/>
        <family val="2"/>
        <scheme val="minor"/>
      </rPr>
      <t xml:space="preserve">2 </t>
    </r>
    <r>
      <rPr>
        <sz val="11"/>
        <color theme="1"/>
        <rFont val="Aptos Narrow"/>
        <family val="2"/>
        <scheme val="minor"/>
      </rPr>
      <t>Montana's unit of service is Staff Hour. The unit was divided by 4 to convert it to a 15 Minute unit.</t>
    </r>
  </si>
  <si>
    <r>
      <rPr>
        <vertAlign val="superscript"/>
        <sz val="11"/>
        <color theme="1"/>
        <rFont val="Aptos Narrow"/>
        <family val="2"/>
        <scheme val="minor"/>
      </rPr>
      <t xml:space="preserve">7 </t>
    </r>
    <r>
      <rPr>
        <sz val="11"/>
        <color theme="1"/>
        <rFont val="Aptos Narrow"/>
        <family val="2"/>
        <scheme val="minor"/>
      </rPr>
      <t>Montana's unit of service is Staff Hour. The rate of $29.40 was multiplied by 8 to convert it to a daily rate. Assumed 8 hours of service.</t>
    </r>
  </si>
  <si>
    <r>
      <rPr>
        <vertAlign val="superscript"/>
        <sz val="11"/>
        <color theme="1"/>
        <rFont val="Aptos Narrow"/>
        <family val="2"/>
        <scheme val="minor"/>
      </rPr>
      <t>4</t>
    </r>
    <r>
      <rPr>
        <sz val="11"/>
        <color theme="1"/>
        <rFont val="Aptos Narrow"/>
        <family val="2"/>
        <scheme val="minor"/>
      </rPr>
      <t xml:space="preserve"> In Idaho, this service is reimbursed as Code H0024; Family Education - Individual under the Children's DDA fee schedule. It appears to be a similar service and is included in the table above for comparison.</t>
    </r>
  </si>
  <si>
    <r>
      <rPr>
        <vertAlign val="superscript"/>
        <sz val="11"/>
        <rFont val="Aptos Narrow"/>
        <family val="2"/>
        <scheme val="minor"/>
      </rPr>
      <t xml:space="preserve">5 </t>
    </r>
    <r>
      <rPr>
        <sz val="11"/>
        <color theme="1"/>
        <rFont val="Aptos Narrow"/>
        <family val="2"/>
        <scheme val="minor"/>
      </rPr>
      <t>The unit of service for Colorado is "1 Trip" and "Per Ride/Trip" for Montana. Assumed a One Way Trip for comparison purposes.</t>
    </r>
  </si>
  <si>
    <r>
      <rPr>
        <vertAlign val="superscript"/>
        <sz val="11"/>
        <color theme="1"/>
        <rFont val="Aptos Narrow"/>
        <family val="2"/>
        <scheme val="minor"/>
      </rPr>
      <t xml:space="preserve">6 </t>
    </r>
    <r>
      <rPr>
        <sz val="11"/>
        <color theme="1"/>
        <rFont val="Aptos Narrow"/>
        <family val="2"/>
        <scheme val="minor"/>
      </rPr>
      <t xml:space="preserve">Nevada's unit of service is 15 Minutes. The unit was multiplied by 4 to convert to an hourly rate. </t>
    </r>
  </si>
  <si>
    <t>Per Month</t>
  </si>
  <si>
    <t>ACUMEN FISCAL AGENT LLC</t>
  </si>
  <si>
    <t>Cost Per Month</t>
  </si>
  <si>
    <t>Unit Cost Calculation for Services Billed Per Month.</t>
  </si>
  <si>
    <t xml:space="preserve">Only used prior survey data because insufficient data reported in current survey. </t>
  </si>
  <si>
    <t>A-4f</t>
  </si>
  <si>
    <t>Utah HCBS rates compared to other states. Shown as Table 10 in the report.</t>
  </si>
  <si>
    <t>Unit cost calculation for procedure codes billed per month. Composes Table 5 in the report.</t>
  </si>
  <si>
    <t>Unit cost calculation for procedure codes billed at the 15 min. and hour units. Composes Table 4 in the report.</t>
  </si>
  <si>
    <t>Unit cost calculation for procedure codes billed per trip. Composes Table 7 in the report.</t>
  </si>
  <si>
    <t>Unit cost calculation for procedure codes billed per meal. Composes Table 8 in the report.</t>
  </si>
  <si>
    <t>Unit cost calculation for procedure codes billed per day. Composes Table 9 in the report.</t>
  </si>
  <si>
    <t>Unit cost calculation for procedure codes billed per visit. Composes Table 6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</si>
</sst>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0.000"/>
    <numFmt numFmtId="168" formatCode="0.0"/>
  </numFmts>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1"/>
      <name val="Aptos Narrow"/>
      <family val="2"/>
      <scheme val="minor"/>
    </font>
    <font>
      <b/>
      <sz val="12"/>
      <name val="Aptos Narrow"/>
      <family val="2"/>
      <scheme val="minor"/>
    </font>
    <font>
      <sz val="11"/>
      <name val="Aptos Narrow"/>
      <family val="2"/>
      <scheme val="minor"/>
    </font>
    <font>
      <sz val="10"/>
      <name val="Arial"/>
      <family val="2"/>
    </font>
    <font>
      <b/>
      <sz val="10"/>
      <name val="Times New Roman"/>
      <family val="1"/>
    </font>
    <font>
      <sz val="11"/>
      <color rgb="FF00B050"/>
      <name val="Aptos Narrow"/>
      <family val="2"/>
      <scheme val="minor"/>
    </font>
    <font>
      <sz val="11"/>
      <color rgb="FF0070C0"/>
      <name val="Aptos Narrow"/>
      <family val="2"/>
      <scheme val="minor"/>
    </font>
    <font>
      <sz val="10"/>
      <name val="Times New Roman"/>
      <family val="1"/>
    </font>
    <font>
      <sz val="8"/>
      <name val="Aptos Narrow"/>
      <family val="2"/>
      <scheme val="minor"/>
    </font>
    <font>
      <vertAlign val="superscript"/>
      <sz val="11"/>
      <color theme="1"/>
      <name val="Aptos Narrow"/>
      <family val="2"/>
      <scheme val="minor"/>
    </font>
    <font>
      <vertAlign val="superscript"/>
      <sz val="11"/>
      <name val="Aptos Narrow"/>
      <family val="2"/>
      <scheme val="minor"/>
    </font>
    <font>
      <b/>
      <sz val="11"/>
      <color theme="1"/>
      <name val="Calibri"/>
      <family val="2"/>
    </font>
    <font>
      <sz val="11"/>
      <color rgb="FFFFFF0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38939B"/>
        <bgColor indexed="64"/>
      </patternFill>
    </fill>
    <fill>
      <patternFill patternType="solid">
        <fgColor rgb="FF9CC5CA"/>
        <bgColor indexed="64"/>
      </patternFill>
    </fill>
    <fill>
      <patternFill patternType="solid">
        <fgColor rgb="FFFFFF00"/>
        <bgColor indexed="64"/>
      </patternFill>
    </fill>
    <fill>
      <patternFill patternType="solid">
        <fgColor theme="2"/>
        <bgColor indexed="64"/>
      </patternFill>
    </fill>
    <fill>
      <patternFill patternType="solid">
        <fgColor theme="1" tint="4.9989318521683403E-2"/>
        <bgColor indexed="64"/>
      </patternFill>
    </fill>
    <fill>
      <patternFill patternType="solid">
        <fgColor rgb="FFE8E8E8"/>
        <bgColor indexed="64"/>
      </patternFill>
    </fill>
    <fill>
      <patternFill patternType="solid">
        <fgColor theme="1"/>
        <bgColor indexed="64"/>
      </patternFill>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0" fillId="0" borderId="0"/>
    <xf numFmtId="0" fontId="13" fillId="0" borderId="0"/>
  </cellStyleXfs>
  <cellXfs count="196">
    <xf numFmtId="0" fontId="0" fillId="0" borderId="0" xfId="0"/>
    <xf numFmtId="0" fontId="4" fillId="0" borderId="0" xfId="0" applyFont="1"/>
    <xf numFmtId="0" fontId="0" fillId="0" borderId="0" xfId="0" applyAlignment="1">
      <alignment wrapText="1"/>
    </xf>
    <xf numFmtId="0" fontId="5" fillId="0" borderId="0" xfId="0" applyFont="1"/>
    <xf numFmtId="0" fontId="0" fillId="2" borderId="0" xfId="0" applyFill="1" applyAlignment="1">
      <alignment horizontal="left"/>
    </xf>
    <xf numFmtId="0" fontId="0" fillId="0" borderId="0" xfId="0" applyAlignment="1">
      <alignment horizontal="left"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0" fillId="0" borderId="0" xfId="0" applyAlignment="1">
      <alignment horizontal="center" wrapText="1"/>
    </xf>
    <xf numFmtId="0" fontId="0" fillId="0" borderId="5" xfId="0" applyBorder="1"/>
    <xf numFmtId="0" fontId="7" fillId="0" borderId="0" xfId="0" applyFont="1"/>
    <xf numFmtId="0" fontId="8" fillId="0" borderId="0" xfId="0" applyFont="1" applyAlignment="1">
      <alignment wrapText="1"/>
    </xf>
    <xf numFmtId="0" fontId="3" fillId="4" borderId="5" xfId="0" applyFont="1" applyFill="1" applyBorder="1" applyAlignment="1">
      <alignment horizontal="center" wrapText="1"/>
    </xf>
    <xf numFmtId="0" fontId="0" fillId="0" borderId="6"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8" fillId="0" borderId="1" xfId="0" applyFont="1" applyBorder="1" applyAlignment="1">
      <alignment horizontal="left"/>
    </xf>
    <xf numFmtId="0" fontId="8" fillId="0" borderId="2" xfId="0" applyFont="1" applyBorder="1" applyAlignment="1">
      <alignment horizontal="left"/>
    </xf>
    <xf numFmtId="9" fontId="0" fillId="0" borderId="7" xfId="3" applyFont="1" applyBorder="1"/>
    <xf numFmtId="164" fontId="2" fillId="3" borderId="1" xfId="0" applyNumberFormat="1" applyFont="1" applyFill="1" applyBorder="1" applyAlignment="1">
      <alignment horizontal="centerContinuous" vertical="center"/>
    </xf>
    <xf numFmtId="9" fontId="2" fillId="3" borderId="2" xfId="3" applyFont="1" applyFill="1" applyBorder="1" applyAlignment="1">
      <alignment horizontal="centerContinuous" vertical="center"/>
    </xf>
    <xf numFmtId="0" fontId="6" fillId="4" borderId="8" xfId="0" applyFont="1" applyFill="1" applyBorder="1" applyAlignment="1">
      <alignment horizontal="center" wrapText="1"/>
    </xf>
    <xf numFmtId="0" fontId="0" fillId="0" borderId="0" xfId="0" applyFont="1"/>
    <xf numFmtId="164" fontId="2" fillId="3" borderId="6" xfId="0" applyNumberFormat="1" applyFont="1" applyFill="1" applyBorder="1" applyAlignment="1">
      <alignment horizontal="centerContinuous" vertical="center"/>
    </xf>
    <xf numFmtId="0" fontId="3" fillId="0" borderId="0" xfId="0" applyFont="1"/>
    <xf numFmtId="9" fontId="0" fillId="0" borderId="5" xfId="3" applyFont="1" applyBorder="1"/>
    <xf numFmtId="44" fontId="0" fillId="0" borderId="5" xfId="0" applyNumberFormat="1" applyFont="1" applyBorder="1"/>
    <xf numFmtId="44" fontId="0" fillId="0" borderId="7" xfId="0" applyNumberFormat="1" applyFont="1" applyBorder="1"/>
    <xf numFmtId="44" fontId="0" fillId="0" borderId="9" xfId="0" applyNumberFormat="1" applyFont="1" applyBorder="1"/>
    <xf numFmtId="44" fontId="0" fillId="0" borderId="9" xfId="0" applyNumberFormat="1" applyBorder="1"/>
    <xf numFmtId="9" fontId="0" fillId="0" borderId="9" xfId="3" applyFont="1" applyBorder="1"/>
    <xf numFmtId="44" fontId="0" fillId="0" borderId="5" xfId="0" applyNumberFormat="1" applyBorder="1"/>
    <xf numFmtId="44" fontId="0" fillId="0" borderId="5" xfId="2" applyFont="1" applyFill="1" applyBorder="1"/>
    <xf numFmtId="164" fontId="2" fillId="3" borderId="2" xfId="0" applyNumberFormat="1" applyFont="1" applyFill="1" applyBorder="1" applyAlignment="1">
      <alignment horizontal="centerContinuous" vertical="center"/>
    </xf>
    <xf numFmtId="44" fontId="0" fillId="0" borderId="7" xfId="0" applyNumberFormat="1" applyBorder="1"/>
    <xf numFmtId="0" fontId="2" fillId="3" borderId="3" xfId="0" applyFont="1" applyFill="1" applyBorder="1" applyAlignment="1">
      <alignment horizontal="center" wrapText="1"/>
    </xf>
    <xf numFmtId="44" fontId="0" fillId="0" borderId="7" xfId="2" applyFont="1" applyFill="1" applyBorder="1"/>
    <xf numFmtId="9" fontId="0" fillId="0" borderId="7" xfId="3" applyFont="1" applyFill="1" applyBorder="1"/>
    <xf numFmtId="0" fontId="0" fillId="0" borderId="5" xfId="0" applyFont="1" applyFill="1" applyBorder="1"/>
    <xf numFmtId="0" fontId="0" fillId="0" borderId="0" xfId="0" applyAlignment="1">
      <alignment horizontal="center"/>
    </xf>
    <xf numFmtId="0" fontId="2" fillId="3" borderId="6" xfId="0" applyFont="1" applyFill="1" applyBorder="1" applyAlignment="1">
      <alignment horizontal="centerContinuous" vertical="center"/>
    </xf>
    <xf numFmtId="0" fontId="2" fillId="3" borderId="1"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0" fillId="0" borderId="7" xfId="0" applyFont="1" applyFill="1" applyBorder="1"/>
    <xf numFmtId="0" fontId="0" fillId="0" borderId="7" xfId="0" applyBorder="1"/>
    <xf numFmtId="164" fontId="0" fillId="0" borderId="7" xfId="2" applyNumberFormat="1" applyFont="1" applyFill="1" applyBorder="1" applyAlignment="1">
      <alignment horizontal="center"/>
    </xf>
    <xf numFmtId="164" fontId="0" fillId="6" borderId="5" xfId="2" applyNumberFormat="1" applyFont="1" applyFill="1" applyBorder="1" applyAlignment="1">
      <alignment horizontal="center"/>
    </xf>
    <xf numFmtId="164" fontId="0" fillId="0" borderId="5" xfId="2" applyNumberFormat="1" applyFont="1" applyFill="1" applyBorder="1" applyAlignment="1">
      <alignment horizontal="center"/>
    </xf>
    <xf numFmtId="164" fontId="0" fillId="6" borderId="7" xfId="2" applyNumberFormat="1" applyFont="1" applyFill="1" applyBorder="1" applyAlignment="1">
      <alignment horizontal="center"/>
    </xf>
    <xf numFmtId="14" fontId="8" fillId="0" borderId="7" xfId="0" applyNumberFormat="1" applyFont="1" applyBorder="1" applyAlignment="1">
      <alignment horizontal="right"/>
    </xf>
    <xf numFmtId="14" fontId="8" fillId="6" borderId="7" xfId="0" applyNumberFormat="1" applyFont="1" applyFill="1" applyBorder="1" applyAlignment="1">
      <alignment horizontal="right"/>
    </xf>
    <xf numFmtId="14" fontId="8" fillId="6" borderId="5" xfId="0" applyNumberFormat="1" applyFont="1" applyFill="1" applyBorder="1" applyAlignment="1">
      <alignment horizontal="right"/>
    </xf>
    <xf numFmtId="44" fontId="0" fillId="6" borderId="5" xfId="2" applyFont="1" applyFill="1" applyBorder="1"/>
    <xf numFmtId="44" fontId="0" fillId="6" borderId="7" xfId="2" applyFont="1" applyFill="1" applyBorder="1"/>
    <xf numFmtId="0" fontId="0" fillId="0" borderId="7" xfId="0" applyBorder="1" applyAlignment="1">
      <alignment horizontal="center"/>
    </xf>
    <xf numFmtId="0" fontId="0" fillId="6" borderId="5" xfId="0" applyFill="1" applyBorder="1" applyAlignment="1">
      <alignment horizontal="center"/>
    </xf>
    <xf numFmtId="0" fontId="0" fillId="6" borderId="5" xfId="0" applyFill="1" applyBorder="1"/>
    <xf numFmtId="0" fontId="0" fillId="0" borderId="5" xfId="0" applyBorder="1" applyAlignment="1">
      <alignment horizontal="center"/>
    </xf>
    <xf numFmtId="0" fontId="0" fillId="6" borderId="7" xfId="0" applyFill="1" applyBorder="1" applyAlignment="1">
      <alignment horizontal="center"/>
    </xf>
    <xf numFmtId="0" fontId="0" fillId="6" borderId="7" xfId="0" applyFill="1" applyBorder="1"/>
    <xf numFmtId="166" fontId="0" fillId="0" borderId="7" xfId="2" applyNumberFormat="1" applyFont="1" applyFill="1" applyBorder="1"/>
    <xf numFmtId="165" fontId="0" fillId="0" borderId="7" xfId="1" applyNumberFormat="1" applyFont="1" applyFill="1" applyBorder="1"/>
    <xf numFmtId="0" fontId="0" fillId="0" borderId="7" xfId="0" applyBorder="1" applyAlignment="1">
      <alignment horizontal="left"/>
    </xf>
    <xf numFmtId="44" fontId="0" fillId="6" borderId="7" xfId="0" applyNumberFormat="1" applyFont="1" applyFill="1" applyBorder="1"/>
    <xf numFmtId="44" fontId="0" fillId="6" borderId="7" xfId="0" applyNumberFormat="1" applyFill="1" applyBorder="1"/>
    <xf numFmtId="9" fontId="0" fillId="6" borderId="7" xfId="3" applyFont="1" applyFill="1" applyBorder="1"/>
    <xf numFmtId="44" fontId="0" fillId="6" borderId="5" xfId="0" applyNumberFormat="1" applyFont="1" applyFill="1" applyBorder="1"/>
    <xf numFmtId="44" fontId="0" fillId="6" borderId="5" xfId="0" applyNumberFormat="1" applyFill="1" applyBorder="1"/>
    <xf numFmtId="9" fontId="0" fillId="6" borderId="5" xfId="3" applyFont="1" applyFill="1" applyBorder="1"/>
    <xf numFmtId="43" fontId="0" fillId="0" borderId="7" xfId="1" applyNumberFormat="1" applyFont="1" applyFill="1" applyBorder="1"/>
    <xf numFmtId="9" fontId="0" fillId="0" borderId="5" xfId="3" applyFont="1" applyFill="1" applyBorder="1"/>
    <xf numFmtId="44" fontId="0" fillId="0" borderId="0" xfId="0" applyNumberFormat="1"/>
    <xf numFmtId="0" fontId="0" fillId="0" borderId="0" xfId="0" applyFill="1"/>
    <xf numFmtId="43" fontId="0" fillId="0" borderId="0" xfId="1" applyFont="1"/>
    <xf numFmtId="9" fontId="0" fillId="0" borderId="7" xfId="3" applyFont="1" applyFill="1" applyBorder="1" applyAlignment="1">
      <alignment horizontal="right"/>
    </xf>
    <xf numFmtId="9" fontId="0" fillId="6" borderId="5" xfId="3" applyFont="1" applyFill="1" applyBorder="1" applyAlignment="1">
      <alignment horizontal="right"/>
    </xf>
    <xf numFmtId="9" fontId="0" fillId="0" borderId="5" xfId="3" applyFont="1" applyFill="1" applyBorder="1" applyAlignment="1">
      <alignment horizontal="right"/>
    </xf>
    <xf numFmtId="9" fontId="0" fillId="6" borderId="7" xfId="3" applyFont="1" applyFill="1" applyBorder="1" applyAlignment="1">
      <alignment horizontal="right"/>
    </xf>
    <xf numFmtId="0" fontId="11" fillId="0" borderId="0" xfId="0" applyFont="1"/>
    <xf numFmtId="0" fontId="3" fillId="0" borderId="0" xfId="4" applyFont="1" applyAlignment="1">
      <alignment horizontal="left" vertical="top" wrapText="1"/>
    </xf>
    <xf numFmtId="0" fontId="12" fillId="0" borderId="0" xfId="0" applyFont="1"/>
    <xf numFmtId="0" fontId="1" fillId="0" borderId="0" xfId="0" applyFont="1"/>
    <xf numFmtId="0" fontId="3" fillId="0" borderId="11" xfId="7" applyFont="1" applyBorder="1" applyAlignment="1">
      <alignment vertical="center"/>
    </xf>
    <xf numFmtId="0" fontId="1" fillId="0" borderId="12" xfId="5" applyFont="1" applyBorder="1" applyAlignment="1">
      <alignment horizontal="center" wrapText="1"/>
    </xf>
    <xf numFmtId="0" fontId="1" fillId="0" borderId="13" xfId="5" applyFont="1" applyBorder="1" applyAlignment="1">
      <alignment horizontal="center" wrapText="1"/>
    </xf>
    <xf numFmtId="0" fontId="1" fillId="0" borderId="0" xfId="5" applyFont="1"/>
    <xf numFmtId="0" fontId="3" fillId="0" borderId="14" xfId="5" applyFont="1" applyBorder="1"/>
    <xf numFmtId="0" fontId="1" fillId="0" borderId="15" xfId="0" applyFont="1" applyBorder="1"/>
    <xf numFmtId="0" fontId="1" fillId="0" borderId="14" xfId="6" applyFont="1" applyBorder="1" applyAlignment="1">
      <alignment horizontal="left" indent="2"/>
    </xf>
    <xf numFmtId="167" fontId="1" fillId="0" borderId="0" xfId="0" applyNumberFormat="1" applyFont="1" applyAlignment="1">
      <alignment horizontal="center"/>
    </xf>
    <xf numFmtId="167" fontId="1" fillId="0" borderId="15" xfId="0" applyNumberFormat="1" applyFont="1" applyBorder="1" applyAlignment="1">
      <alignment horizontal="center"/>
    </xf>
    <xf numFmtId="168" fontId="1" fillId="0" borderId="0" xfId="0" applyNumberFormat="1" applyFont="1" applyAlignment="1">
      <alignment horizontal="center"/>
    </xf>
    <xf numFmtId="168" fontId="1" fillId="0" borderId="15" xfId="0" applyNumberFormat="1" applyFont="1" applyBorder="1" applyAlignment="1">
      <alignment horizontal="center"/>
    </xf>
    <xf numFmtId="0" fontId="3" fillId="0" borderId="14" xfId="4" applyFont="1" applyBorder="1"/>
    <xf numFmtId="167" fontId="8" fillId="0" borderId="0" xfId="5" applyNumberFormat="1" applyFont="1" applyAlignment="1">
      <alignment horizontal="left"/>
    </xf>
    <xf numFmtId="167" fontId="8" fillId="0" borderId="0" xfId="5" applyNumberFormat="1" applyFont="1" applyAlignment="1">
      <alignment horizontal="center"/>
    </xf>
    <xf numFmtId="167" fontId="8" fillId="0" borderId="15" xfId="5" applyNumberFormat="1" applyFont="1" applyBorder="1" applyAlignment="1">
      <alignment horizontal="center"/>
    </xf>
    <xf numFmtId="0" fontId="12" fillId="0" borderId="14" xfId="6" applyFont="1" applyBorder="1" applyAlignment="1">
      <alignment horizontal="left" indent="2"/>
    </xf>
    <xf numFmtId="167" fontId="12" fillId="0" borderId="0" xfId="0" applyNumberFormat="1" applyFont="1" applyAlignment="1">
      <alignment horizontal="center"/>
    </xf>
    <xf numFmtId="167" fontId="12" fillId="5" borderId="0" xfId="0" applyNumberFormat="1" applyFont="1" applyFill="1" applyAlignment="1">
      <alignment horizontal="center"/>
    </xf>
    <xf numFmtId="167" fontId="12" fillId="0" borderId="15" xfId="0" applyNumberFormat="1" applyFont="1" applyBorder="1" applyAlignment="1">
      <alignment horizontal="center"/>
    </xf>
    <xf numFmtId="0" fontId="1" fillId="0" borderId="7" xfId="6" applyFont="1" applyBorder="1" applyAlignment="1">
      <alignment horizontal="left" indent="2"/>
    </xf>
    <xf numFmtId="168" fontId="1" fillId="0" borderId="10" xfId="0" applyNumberFormat="1" applyFont="1" applyBorder="1" applyAlignment="1">
      <alignment horizontal="center"/>
    </xf>
    <xf numFmtId="168" fontId="1" fillId="0" borderId="16" xfId="0" applyNumberFormat="1" applyFont="1" applyBorder="1" applyAlignment="1">
      <alignment horizontal="center"/>
    </xf>
    <xf numFmtId="0" fontId="1" fillId="0" borderId="0" xfId="4"/>
    <xf numFmtId="14" fontId="0" fillId="0" borderId="5" xfId="2" applyNumberFormat="1" applyFont="1" applyFill="1" applyBorder="1" applyAlignment="1">
      <alignment horizontal="right"/>
    </xf>
    <xf numFmtId="14" fontId="0" fillId="6" borderId="7" xfId="2" applyNumberFormat="1" applyFont="1" applyFill="1" applyBorder="1" applyAlignment="1">
      <alignment horizontal="right"/>
    </xf>
    <xf numFmtId="14" fontId="0" fillId="6" borderId="5" xfId="2" applyNumberFormat="1" applyFont="1" applyFill="1" applyBorder="1" applyAlignment="1">
      <alignment horizontal="right"/>
    </xf>
    <xf numFmtId="0" fontId="0" fillId="0" borderId="0" xfId="0" applyFont="1" applyFill="1" applyBorder="1"/>
    <xf numFmtId="166" fontId="0" fillId="0" borderId="0" xfId="0" applyNumberFormat="1" applyBorder="1"/>
    <xf numFmtId="165" fontId="0" fillId="0" borderId="0" xfId="1" applyNumberFormat="1" applyFont="1" applyBorder="1"/>
    <xf numFmtId="43" fontId="0" fillId="0" borderId="0" xfId="0" applyNumberFormat="1"/>
    <xf numFmtId="0" fontId="2" fillId="3" borderId="14" xfId="0" applyFont="1" applyFill="1" applyBorder="1" applyAlignment="1">
      <alignment horizontal="center" wrapText="1"/>
    </xf>
    <xf numFmtId="9" fontId="0" fillId="0" borderId="0" xfId="3" applyFont="1"/>
    <xf numFmtId="9" fontId="0" fillId="0" borderId="0" xfId="3" applyFont="1" applyFill="1" applyBorder="1"/>
    <xf numFmtId="0" fontId="0" fillId="0" borderId="6" xfId="0" applyFont="1" applyFill="1" applyBorder="1"/>
    <xf numFmtId="0" fontId="0" fillId="0" borderId="2" xfId="0" applyFont="1" applyFill="1" applyBorder="1"/>
    <xf numFmtId="0" fontId="0" fillId="0" borderId="17" xfId="0" applyFont="1" applyFill="1" applyBorder="1"/>
    <xf numFmtId="44" fontId="0" fillId="0" borderId="0" xfId="0" applyNumberFormat="1" applyFill="1"/>
    <xf numFmtId="43" fontId="0" fillId="0" borderId="7" xfId="1" applyFont="1" applyFill="1" applyBorder="1"/>
    <xf numFmtId="43" fontId="0" fillId="0" borderId="10" xfId="1" applyFont="1" applyBorder="1"/>
    <xf numFmtId="165" fontId="0" fillId="0" borderId="0" xfId="1" applyNumberFormat="1" applyFont="1"/>
    <xf numFmtId="165" fontId="0" fillId="0" borderId="10" xfId="1" applyNumberFormat="1" applyFont="1" applyBorder="1"/>
    <xf numFmtId="165" fontId="0" fillId="0" borderId="1" xfId="0" applyNumberFormat="1" applyBorder="1"/>
    <xf numFmtId="165" fontId="0" fillId="0" borderId="1" xfId="1" applyNumberFormat="1" applyFont="1" applyBorder="1"/>
    <xf numFmtId="43" fontId="0" fillId="0" borderId="18" xfId="1" applyFont="1" applyBorder="1"/>
    <xf numFmtId="0" fontId="6" fillId="7" borderId="3" xfId="0" applyFont="1" applyFill="1" applyBorder="1" applyAlignment="1">
      <alignment horizontal="center" wrapText="1"/>
    </xf>
    <xf numFmtId="44" fontId="0" fillId="7" borderId="7" xfId="2" applyFont="1" applyFill="1" applyBorder="1"/>
    <xf numFmtId="0" fontId="6" fillId="7" borderId="19" xfId="0" applyFont="1" applyFill="1" applyBorder="1" applyAlignment="1">
      <alignment horizontal="center" wrapText="1"/>
    </xf>
    <xf numFmtId="0" fontId="6" fillId="7" borderId="17" xfId="0" applyFont="1" applyFill="1" applyBorder="1" applyAlignment="1">
      <alignment horizontal="center" wrapText="1"/>
    </xf>
    <xf numFmtId="44" fontId="0" fillId="2" borderId="7" xfId="0" applyNumberFormat="1" applyFont="1" applyFill="1" applyBorder="1"/>
    <xf numFmtId="44" fontId="0" fillId="2" borderId="5" xfId="2" applyFont="1" applyFill="1" applyBorder="1"/>
    <xf numFmtId="44" fontId="0" fillId="0" borderId="9" xfId="2" applyFont="1" applyFill="1" applyBorder="1"/>
    <xf numFmtId="164" fontId="0" fillId="0" borderId="5" xfId="2" applyNumberFormat="1" applyFont="1" applyFill="1" applyBorder="1" applyAlignment="1">
      <alignment horizontal="right"/>
    </xf>
    <xf numFmtId="164" fontId="0" fillId="0" borderId="2" xfId="2" applyNumberFormat="1" applyFont="1" applyFill="1" applyBorder="1"/>
    <xf numFmtId="164" fontId="0" fillId="0" borderId="5" xfId="2" applyNumberFormat="1" applyFont="1" applyFill="1" applyBorder="1" applyAlignment="1">
      <alignment horizontal="right" wrapText="1"/>
    </xf>
    <xf numFmtId="44" fontId="0" fillId="8" borderId="7" xfId="2" applyFont="1" applyFill="1" applyBorder="1"/>
    <xf numFmtId="164" fontId="0" fillId="8" borderId="5" xfId="2" applyNumberFormat="1" applyFont="1" applyFill="1" applyBorder="1" applyAlignment="1">
      <alignment horizontal="right"/>
    </xf>
    <xf numFmtId="164" fontId="0" fillId="8" borderId="5" xfId="2" applyNumberFormat="1" applyFont="1" applyFill="1" applyBorder="1" applyAlignment="1">
      <alignment horizontal="right" wrapText="1"/>
    </xf>
    <xf numFmtId="164" fontId="0" fillId="8" borderId="2" xfId="2" applyNumberFormat="1" applyFont="1" applyFill="1" applyBorder="1"/>
    <xf numFmtId="44" fontId="0" fillId="0" borderId="7" xfId="0" applyNumberFormat="1" applyFont="1" applyFill="1" applyBorder="1"/>
    <xf numFmtId="44" fontId="0" fillId="8" borderId="7" xfId="0" applyNumberFormat="1" applyFont="1" applyFill="1" applyBorder="1"/>
    <xf numFmtId="0" fontId="8" fillId="0" borderId="6" xfId="0" applyFont="1" applyFill="1" applyBorder="1" applyAlignment="1">
      <alignment horizontal="left"/>
    </xf>
    <xf numFmtId="0" fontId="8" fillId="0" borderId="0" xfId="0" applyFont="1"/>
    <xf numFmtId="44" fontId="0" fillId="0" borderId="0" xfId="2" applyFont="1" applyFill="1" applyBorder="1"/>
    <xf numFmtId="0" fontId="6" fillId="0" borderId="0" xfId="0" applyFont="1" applyFill="1" applyBorder="1" applyAlignment="1">
      <alignment horizontal="center" wrapText="1"/>
    </xf>
    <xf numFmtId="0" fontId="0" fillId="0" borderId="0" xfId="0" applyFill="1" applyBorder="1"/>
    <xf numFmtId="44" fontId="0" fillId="9" borderId="7" xfId="2" applyFont="1" applyFill="1" applyBorder="1"/>
    <xf numFmtId="43" fontId="0" fillId="9" borderId="7" xfId="1" applyNumberFormat="1" applyFont="1" applyFill="1" applyBorder="1"/>
    <xf numFmtId="165" fontId="0" fillId="9" borderId="7" xfId="1" applyNumberFormat="1" applyFont="1" applyFill="1" applyBorder="1"/>
    <xf numFmtId="166" fontId="0" fillId="9" borderId="7" xfId="2" applyNumberFormat="1" applyFont="1" applyFill="1" applyBorder="1"/>
    <xf numFmtId="43" fontId="0" fillId="0" borderId="0" xfId="1" applyFont="1" applyFill="1"/>
    <xf numFmtId="44" fontId="0" fillId="0" borderId="0" xfId="0" applyNumberFormat="1" applyFont="1"/>
    <xf numFmtId="0" fontId="0" fillId="0" borderId="5" xfId="0" applyNumberFormat="1" applyBorder="1"/>
    <xf numFmtId="0" fontId="0" fillId="0" borderId="5" xfId="0" applyFill="1" applyBorder="1" applyAlignment="1">
      <alignment vertical="center"/>
    </xf>
    <xf numFmtId="0" fontId="8" fillId="0" borderId="6" xfId="0" applyFont="1" applyFill="1" applyBorder="1" applyAlignment="1">
      <alignment horizontal="left" vertical="top"/>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0" fillId="0" borderId="5" xfId="0" applyFill="1" applyBorder="1"/>
    <xf numFmtId="0" fontId="8" fillId="0" borderId="1" xfId="0" applyFont="1" applyFill="1" applyBorder="1" applyAlignment="1">
      <alignment horizontal="left"/>
    </xf>
    <xf numFmtId="0" fontId="8" fillId="0" borderId="2" xfId="0" applyFont="1" applyFill="1" applyBorder="1" applyAlignment="1">
      <alignment horizontal="left"/>
    </xf>
    <xf numFmtId="164" fontId="8" fillId="8" borderId="5" xfId="2" applyNumberFormat="1" applyFont="1" applyFill="1" applyBorder="1" applyAlignment="1">
      <alignment horizontal="right"/>
    </xf>
    <xf numFmtId="0" fontId="0" fillId="0" borderId="0" xfId="0" applyFill="1" applyAlignment="1">
      <alignment horizontal="center"/>
    </xf>
    <xf numFmtId="0" fontId="6" fillId="7" borderId="7" xfId="0" applyFont="1" applyFill="1" applyBorder="1" applyAlignment="1">
      <alignment horizontal="center" wrapText="1"/>
    </xf>
    <xf numFmtId="165" fontId="0" fillId="0" borderId="3" xfId="1" applyNumberFormat="1" applyFont="1" applyFill="1" applyBorder="1"/>
    <xf numFmtId="165" fontId="0" fillId="0" borderId="5" xfId="1" applyNumberFormat="1" applyFont="1" applyFill="1" applyBorder="1"/>
    <xf numFmtId="44" fontId="0" fillId="0" borderId="19" xfId="2" applyFont="1" applyFill="1" applyBorder="1"/>
    <xf numFmtId="44" fontId="0" fillId="0" borderId="6" xfId="2" applyFont="1" applyFill="1" applyBorder="1"/>
    <xf numFmtId="44" fontId="0" fillId="0" borderId="17" xfId="2" applyFont="1" applyFill="1" applyBorder="1"/>
    <xf numFmtId="44" fontId="0" fillId="0" borderId="20" xfId="2" applyFont="1" applyFill="1" applyBorder="1"/>
    <xf numFmtId="166" fontId="0" fillId="0" borderId="3" xfId="2" applyNumberFormat="1" applyFont="1" applyFill="1" applyBorder="1"/>
    <xf numFmtId="166" fontId="0" fillId="0" borderId="5" xfId="2" applyNumberFormat="1" applyFont="1" applyFill="1" applyBorder="1"/>
    <xf numFmtId="44" fontId="17" fillId="0" borderId="0" xfId="2" applyFont="1" applyFill="1" applyBorder="1"/>
    <xf numFmtId="44" fontId="3" fillId="0" borderId="0" xfId="0" applyNumberFormat="1" applyFont="1" applyBorder="1"/>
    <xf numFmtId="9" fontId="3" fillId="0" borderId="0" xfId="3" applyFont="1" applyFill="1" applyBorder="1"/>
    <xf numFmtId="164" fontId="3" fillId="0" borderId="0" xfId="0" applyNumberFormat="1" applyFont="1" applyBorder="1"/>
    <xf numFmtId="0" fontId="0" fillId="0" borderId="0" xfId="0" applyBorder="1"/>
    <xf numFmtId="9" fontId="3" fillId="0" borderId="0" xfId="3" applyFont="1" applyBorder="1"/>
    <xf numFmtId="0" fontId="0" fillId="6" borderId="3" xfId="0" applyFill="1" applyBorder="1" applyAlignment="1">
      <alignment horizontal="center"/>
    </xf>
    <xf numFmtId="0" fontId="0" fillId="6" borderId="3" xfId="0" applyFill="1" applyBorder="1"/>
    <xf numFmtId="44" fontId="0" fillId="6" borderId="3" xfId="0" applyNumberFormat="1" applyFont="1" applyFill="1" applyBorder="1"/>
    <xf numFmtId="44" fontId="0" fillId="6" borderId="3" xfId="0" applyNumberFormat="1" applyFill="1" applyBorder="1"/>
    <xf numFmtId="9" fontId="0" fillId="6" borderId="3" xfId="3" applyFont="1" applyFill="1" applyBorder="1"/>
    <xf numFmtId="164" fontId="0" fillId="8" borderId="8" xfId="2" applyNumberFormat="1" applyFont="1" applyFill="1" applyBorder="1"/>
    <xf numFmtId="164" fontId="8" fillId="8" borderId="3" xfId="2" applyNumberFormat="1" applyFont="1" applyFill="1" applyBorder="1" applyAlignment="1">
      <alignment horizontal="right"/>
    </xf>
    <xf numFmtId="164" fontId="0" fillId="8" borderId="3" xfId="2" applyNumberFormat="1" applyFont="1" applyFill="1" applyBorder="1" applyAlignment="1">
      <alignment horizontal="right" wrapText="1"/>
    </xf>
    <xf numFmtId="164" fontId="0" fillId="8" borderId="3" xfId="2" applyNumberFormat="1" applyFont="1" applyFill="1" applyBorder="1" applyAlignment="1">
      <alignment horizontal="right"/>
    </xf>
    <xf numFmtId="0" fontId="18" fillId="0" borderId="0" xfId="0" applyFont="1" applyFill="1" applyAlignment="1">
      <alignment horizontal="center" wrapText="1"/>
    </xf>
    <xf numFmtId="0" fontId="0" fillId="0" borderId="0" xfId="0" applyFill="1" applyAlignment="1">
      <alignment horizontal="center" wrapText="1"/>
    </xf>
    <xf numFmtId="14" fontId="0" fillId="0" borderId="0" xfId="0" applyNumberFormat="1"/>
    <xf numFmtId="0" fontId="3" fillId="4" borderId="6" xfId="0" applyFont="1" applyFill="1" applyBorder="1" applyAlignment="1">
      <alignment horizontal="center"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8" fillId="0" borderId="6"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cellXfs>
  <cellStyles count="8">
    <cellStyle name="Comma" xfId="1" builtinId="3"/>
    <cellStyle name="Currency" xfId="2" builtinId="4"/>
    <cellStyle name="Normal" xfId="0" builtinId="0"/>
    <cellStyle name="Normal 2" xfId="5" xr:uid="{00000000-0005-0000-0000-000003000000}"/>
    <cellStyle name="Normal 3" xfId="4" xr:uid="{00000000-0005-0000-0000-000004000000}"/>
    <cellStyle name="Normal_tbls1_13_a" xfId="7" xr:uid="{00000000-0005-0000-0000-000005000000}"/>
    <cellStyle name="Percent" xfId="3" builtinId="5"/>
    <cellStyle name="rowhead_tbls1_13_a" xfId="6" xr:uid="{00000000-0005-0000-0000-000007000000}"/>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00FF"/>
      <color rgb="FFE8E8E8"/>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Utah\Rate%20Study\2024\HCBS\Survey%20Data\DDR-UT%20Rate%20Study%20HCBS%20Survey.xlsx" TargetMode="External"/><Relationship Id="rId1" Type="http://schemas.openxmlformats.org/officeDocument/2006/relationships/externalLinkPath" Target="/Utah/Rate%20Study/2024/HCBS/Survey%20Data/DDR-UT%20Rate%20Study%20HCBS%20Surve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Utah\Rate%20Study\2024\HCBS\Other%20State%20Data\Comparison%20LN.xlsx" TargetMode="External"/><Relationship Id="rId1" Type="http://schemas.openxmlformats.org/officeDocument/2006/relationships/externalLinkPath" Target="/Utah/Rate%20Study/2024/HCBS/Other%20State%20Data/Comparison%20L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PYUT Rate Study HCBS Survey"/>
      <sheetName val="Completeness"/>
      <sheetName val="Overall Tests"/>
      <sheetName val="UT Rate Study HCBS Survey"/>
      <sheetName val="Prior Cost Survey Data"/>
      <sheetName val="Inquiries"/>
      <sheetName val="Comments"/>
    </sheetNames>
    <sheetDataSet>
      <sheetData sheetId="0"/>
      <sheetData sheetId="1"/>
      <sheetData sheetId="2"/>
      <sheetData sheetId="3">
        <row r="6">
          <cell r="B6" t="str">
            <v>Agency Name</v>
          </cell>
          <cell r="C6" t="str">
            <v>National Provider Identifier (NPI)</v>
          </cell>
          <cell r="D6" t="str">
            <v>Agency Contact Name</v>
          </cell>
          <cell r="E6" t="str">
            <v>Agency Contact Email Address</v>
          </cell>
          <cell r="F6" t="str">
            <v>Agency Contact Phone Number</v>
          </cell>
          <cell r="G6" t="str">
            <v>Procedure Codes (CPT)</v>
          </cell>
          <cell r="H6" t="str">
            <v>H0034: Billing Medicaid?</v>
          </cell>
          <cell r="I6" t="str">
            <v>H0034: % of Clients Receiving Services Medicaid</v>
          </cell>
          <cell r="J6" t="str">
            <v>H0034: Anything additional to explain/share?</v>
          </cell>
          <cell r="K6" t="str">
            <v>H0034: Total billed units</v>
          </cell>
          <cell r="L6" t="str">
            <v>H0038: Billing Medicaid?</v>
          </cell>
          <cell r="M6" t="str">
            <v>H0038: % of Clients Receiving Services Medicaid</v>
          </cell>
          <cell r="N6" t="str">
            <v>H0038: Total billed units</v>
          </cell>
          <cell r="O6" t="str">
            <v>H0038: Anything additional to explain/share?</v>
          </cell>
          <cell r="P6" t="str">
            <v>H0043: Billing Medicaid?</v>
          </cell>
          <cell r="Q6" t="str">
            <v>H0043: % of Clients Receiving Services Medicaid</v>
          </cell>
          <cell r="R6" t="str">
            <v>H0043: Building depreciation or rent expenses</v>
          </cell>
          <cell r="S6" t="str">
            <v>H0043: Building/ mortgage interest expenses</v>
          </cell>
          <cell r="T6" t="str">
            <v>H0043: Property taxes expenses</v>
          </cell>
          <cell r="U6" t="str">
            <v>H0043: Property insurance expenses</v>
          </cell>
          <cell r="V6" t="str">
            <v>H0043: Utilities expenses</v>
          </cell>
          <cell r="W6" t="str">
            <v>H0043: Building repairs/ maintenance expenses</v>
          </cell>
          <cell r="X6" t="str">
            <v>H0043: Resident food costs</v>
          </cell>
          <cell r="Y6" t="str">
            <v>H0043: Total number of licensed beds</v>
          </cell>
          <cell r="Z6" t="str">
            <v>H0043: Total census days</v>
          </cell>
          <cell r="AA6" t="str">
            <v>H0043: Total Medicaid days</v>
          </cell>
          <cell r="AB6" t="str">
            <v>H0045: Billing Medicaid?</v>
          </cell>
          <cell r="AC6" t="str">
            <v>H0045: % of Clients Receiving Services Medicaid</v>
          </cell>
          <cell r="AD6" t="str">
            <v>H0045: Total billed units</v>
          </cell>
          <cell r="AE6" t="str">
            <v>H0045: Avg # hrs services provided per billed unit</v>
          </cell>
          <cell r="AF6" t="str">
            <v>S5102: Billing Medicaid?</v>
          </cell>
          <cell r="AG6" t="str">
            <v>S5102: % of Clients Receiving Services Medicaid</v>
          </cell>
          <cell r="AH6" t="str">
            <v>S5102: Total billed units</v>
          </cell>
          <cell r="AI6" t="str">
            <v>S5102: Avg # hrs services provided per billed unit</v>
          </cell>
          <cell r="AJ6" t="str">
            <v>S5125: Billing Medicaid?</v>
          </cell>
          <cell r="AK6" t="str">
            <v>S5125: % of Clients Receiving Services Medicaid</v>
          </cell>
          <cell r="AL6" t="str">
            <v>S5125: Total billed units</v>
          </cell>
          <cell r="AM6" t="str">
            <v>S5130: Billing Medicaid?</v>
          </cell>
          <cell r="AN6" t="str">
            <v>S5130: % of Clients Receiving Services Medicaid</v>
          </cell>
          <cell r="AO6" t="str">
            <v>S5130: Total billed units</v>
          </cell>
          <cell r="AP6" t="str">
            <v>S5135: Billing Medicaid?</v>
          </cell>
          <cell r="AQ6" t="str">
            <v>S5135: % of Clients Receiving Services Medicaid</v>
          </cell>
          <cell r="AR6" t="str">
            <v>S5135: Total billed units</v>
          </cell>
          <cell r="AS6" t="str">
            <v>S5150: Billing Medicaid?</v>
          </cell>
          <cell r="AT6" t="str">
            <v>S5150: % of Clients Receiving Services Medicaid</v>
          </cell>
          <cell r="AU6" t="str">
            <v>S5150: Total billed units</v>
          </cell>
          <cell r="AV6" t="str">
            <v>S5170: Billing Medicaid?</v>
          </cell>
          <cell r="AW6" t="str">
            <v>S5170: % of Clients Receiving Services Medicaid</v>
          </cell>
          <cell r="AX6" t="str">
            <v>S5170: Number of meals served</v>
          </cell>
          <cell r="AY6" t="str">
            <v>T1000: Billing Medicaid?</v>
          </cell>
          <cell r="AZ6" t="str">
            <v>T1000: % of Clients Receiving Services Medicaid</v>
          </cell>
          <cell r="BA6" t="str">
            <v>T1000: Total billed units</v>
          </cell>
          <cell r="BB6" t="str">
            <v>T1005: Billing Medicaid?</v>
          </cell>
          <cell r="BC6" t="str">
            <v>T1005: % of Clients Receiving Services Medicaid</v>
          </cell>
          <cell r="BD6" t="str">
            <v>T1005: Total billed units</v>
          </cell>
          <cell r="BE6" t="str">
            <v>T1016: Billing Medicaid?</v>
          </cell>
          <cell r="BF6" t="str">
            <v>T1016: % of Clients Receiving Services Medicaid</v>
          </cell>
          <cell r="BG6" t="str">
            <v>T1016: Total billed units</v>
          </cell>
          <cell r="BH6" t="str">
            <v>T1019: Billing Medicaid?</v>
          </cell>
          <cell r="BI6" t="str">
            <v>T1019: % of Clients Receiving Services Medicaid</v>
          </cell>
          <cell r="BJ6" t="str">
            <v>T1019: Total billed units</v>
          </cell>
          <cell r="BK6" t="str">
            <v>T1021: Billing Medicaid?</v>
          </cell>
          <cell r="BL6" t="str">
            <v>T1021: % of Clients Receiving Services Medicaid</v>
          </cell>
          <cell r="BM6" t="str">
            <v>T1021: Total number of visits</v>
          </cell>
          <cell r="BN6" t="str">
            <v>T1021: Average length visit</v>
          </cell>
          <cell r="BO6" t="str">
            <v>T1027: Billing Medicaid?</v>
          </cell>
          <cell r="BP6" t="str">
            <v>T1027: % of Clients Receiving Services Medicaid</v>
          </cell>
          <cell r="BQ6" t="str">
            <v>T1027: Total billed units</v>
          </cell>
          <cell r="BR6" t="str">
            <v>T2003: Billing Medicaid?</v>
          </cell>
          <cell r="BS6" t="str">
            <v>T2003: % of Clients Receiving Services Medicaid</v>
          </cell>
          <cell r="BT6" t="str">
            <v>T2003: Total number of trips billed</v>
          </cell>
          <cell r="BU6" t="str">
            <v>T2003: Average number of clients per trip</v>
          </cell>
          <cell r="BV6" t="str">
            <v>T2003: Total miles driven for billed trips</v>
          </cell>
          <cell r="BW6" t="str">
            <v>T2016: Billing Medicaid?</v>
          </cell>
          <cell r="BX6" t="str">
            <v>T2016: % of Clients Received Service (waiver)</v>
          </cell>
          <cell r="BY6" t="str">
            <v>T2016: Building depreciation or rent expenses</v>
          </cell>
          <cell r="BZ6" t="str">
            <v>T2016: Building/ mortgage interest expenses</v>
          </cell>
          <cell r="CA6" t="str">
            <v>T2016: Property taxes expenses</v>
          </cell>
          <cell r="CB6" t="str">
            <v>T2016: Property insurance expenses</v>
          </cell>
          <cell r="CC6" t="str">
            <v>T2016: Utilities expenses</v>
          </cell>
          <cell r="CD6" t="str">
            <v>T2016: Building repairs/ maintenance expenses</v>
          </cell>
          <cell r="CE6" t="str">
            <v>T2016: Resident food costs</v>
          </cell>
          <cell r="CF6" t="str">
            <v>T2016: Total number of licensed beds</v>
          </cell>
          <cell r="CG6" t="str">
            <v>T2016: Total census days</v>
          </cell>
          <cell r="CH6" t="str">
            <v>T2016: Total Medicaid days</v>
          </cell>
          <cell r="CI6" t="str">
            <v>T2016: Anything additional to explain/share?</v>
          </cell>
          <cell r="CJ6" t="str">
            <v>T2017: Billing Medicaid?</v>
          </cell>
          <cell r="CK6" t="str">
            <v>T2017: % of Clients Receiving Services Medicaid</v>
          </cell>
          <cell r="CL6" t="str">
            <v>T2017: Building depreciation or rent expenses</v>
          </cell>
          <cell r="CM6" t="str">
            <v>T2017: Building/ mortgage interest expenses</v>
          </cell>
          <cell r="CN6" t="str">
            <v>T2017: Property taxes expenses</v>
          </cell>
          <cell r="CO6" t="str">
            <v>T2017: Property insurance expenses</v>
          </cell>
          <cell r="CP6" t="str">
            <v>T2017: Utilities expenses</v>
          </cell>
          <cell r="CQ6" t="str">
            <v>T2017: Building repairs/maintenance expenses</v>
          </cell>
          <cell r="CR6" t="str">
            <v>T2017: Resident food costs</v>
          </cell>
          <cell r="CS6" t="str">
            <v>T2017: Total number of licensed beds</v>
          </cell>
          <cell r="CT6" t="str">
            <v>T2017: Total census days</v>
          </cell>
          <cell r="CU6" t="str">
            <v>T2017: Total Medicaid days</v>
          </cell>
          <cell r="CV6" t="str">
            <v>T2017: Anything additional to explain/share?</v>
          </cell>
          <cell r="CW6" t="str">
            <v>T2031: Billing Medicaid?</v>
          </cell>
          <cell r="CX6" t="str">
            <v>T2031: % of Clients Receiving Services Medicaid</v>
          </cell>
          <cell r="CY6" t="str">
            <v>T2031: Building depreciation or rent expenses</v>
          </cell>
          <cell r="CZ6" t="str">
            <v>T2031: Building/ mortgage interest expenses</v>
          </cell>
          <cell r="DA6" t="str">
            <v>T2031: Property taxes expenses</v>
          </cell>
          <cell r="DB6" t="str">
            <v>T2031: Property insurance expenses</v>
          </cell>
          <cell r="DC6" t="str">
            <v>T2031: Utilities expenses</v>
          </cell>
          <cell r="DD6" t="str">
            <v>T2031: Building repairs/ maintenance expenses</v>
          </cell>
          <cell r="DE6" t="str">
            <v>T2031: Resident food costs</v>
          </cell>
          <cell r="DF6" t="str">
            <v>T2031: Total number of licensed beds</v>
          </cell>
          <cell r="DG6" t="str">
            <v>T2031: Total census days</v>
          </cell>
          <cell r="DH6" t="str">
            <v>T2031: Total Medicaid days</v>
          </cell>
          <cell r="DI6" t="str">
            <v>T2031: Anything additional to explain/share?</v>
          </cell>
          <cell r="DJ6" t="str">
            <v>T2033: Billing Medicaid?</v>
          </cell>
          <cell r="DK6" t="str">
            <v>T2033: % of Clients Receiving Services Medicaid</v>
          </cell>
          <cell r="DL6" t="str">
            <v>T2033: Building depreciation or rent expenses</v>
          </cell>
          <cell r="DM6" t="str">
            <v>T2033: Building/mortgage interest expenses</v>
          </cell>
          <cell r="DN6" t="str">
            <v>T2033: Property taxes expenses</v>
          </cell>
          <cell r="DO6" t="str">
            <v>T2033: Property insurance expenses</v>
          </cell>
          <cell r="DP6" t="str">
            <v>T2033: Utilities expenses</v>
          </cell>
          <cell r="DQ6" t="str">
            <v>T2033: Building repairs/maintenance expenses</v>
          </cell>
          <cell r="DR6" t="str">
            <v>T2033: Resident food costs</v>
          </cell>
          <cell r="DS6" t="str">
            <v>T2033: Total number of licensed beds</v>
          </cell>
          <cell r="DT6" t="str">
            <v>T2033: Total census days</v>
          </cell>
          <cell r="DU6" t="str">
            <v>T2033: Total Medicaid days</v>
          </cell>
          <cell r="DV6" t="str">
            <v>T2033: Anything additional to explain/share?</v>
          </cell>
          <cell r="DW6" t="str">
            <v>T2040: Billing Medicaid?</v>
          </cell>
          <cell r="DX6" t="str">
            <v>T2040: % of Clients Receiving Services Medicaid</v>
          </cell>
          <cell r="DY6" t="str">
            <v>T2040: Total billed units</v>
          </cell>
          <cell r="DZ6" t="str">
            <v>Total Wages for the Direct Service Staff</v>
          </cell>
          <cell r="EA6" t="str">
            <v>Total Hours for the Direct Service Staff</v>
          </cell>
          <cell r="EB6" t="str">
            <v>Total Wages for Direct Care Supervisors</v>
          </cell>
          <cell r="EC6" t="str">
            <v>Total Hours for the Direct Care Supervisors</v>
          </cell>
          <cell r="ED6" t="str">
            <v>Total Expenses for Contracted Labor</v>
          </cell>
          <cell r="EE6" t="str">
            <v>Total Mileage Reimbursement/ Other Travel Costs</v>
          </cell>
          <cell r="EF6" t="str">
            <v>Total Non-Wage Expenses</v>
          </cell>
          <cell r="EG6" t="str">
            <v>Provide a Brief Description of Non-Wage Expenses</v>
          </cell>
          <cell r="EH6" t="str">
            <v>Comments to Explain/Share for Direct Services</v>
          </cell>
          <cell r="EI6" t="str">
            <v>Total Expenses per Profit &amp; Loss Statement</v>
          </cell>
          <cell r="EJ6" t="str">
            <v>Total Wage/Salary Expense (all employees)</v>
          </cell>
          <cell r="EK6" t="str">
            <v>Total Employee Benefit Expenses (all employees)</v>
          </cell>
          <cell r="EL6" t="str">
            <v>Total General and Administrative Expenses:</v>
          </cell>
          <cell r="EM6" t="str">
            <v>Total Direct Expenses for All Other Services</v>
          </cell>
          <cell r="EN6" t="str">
            <v>H0043: Anything additional to explain/share?</v>
          </cell>
          <cell r="EO6" t="str">
            <v>H0045: Anything additional to explain/share?</v>
          </cell>
          <cell r="EP6" t="str">
            <v>S5102: Anything additional to explain/share?</v>
          </cell>
          <cell r="EQ6" t="str">
            <v>S5125: Anything additional to explain/share?</v>
          </cell>
          <cell r="ER6" t="str">
            <v>S5130: Anything additional to explain/share?</v>
          </cell>
          <cell r="ES6" t="str">
            <v>S5135: Anything additional to explain/share?</v>
          </cell>
          <cell r="ET6" t="str">
            <v>S5150: Anything additional to explain/share?</v>
          </cell>
          <cell r="EU6" t="str">
            <v>S5170: Anything additional to explain/share?</v>
          </cell>
          <cell r="EV6" t="str">
            <v>T1005: Anything additional to explain/share?</v>
          </cell>
          <cell r="EW6" t="str">
            <v>T1016: Anything additional to explain/share?</v>
          </cell>
          <cell r="EX6" t="str">
            <v>T1019: Anything additional to explain/share?</v>
          </cell>
          <cell r="EY6" t="str">
            <v>T1021: Anything additional to explain/share?</v>
          </cell>
          <cell r="EZ6" t="str">
            <v>T1027: Anything additional to explain/share?</v>
          </cell>
          <cell r="FA6" t="str">
            <v>T2003: Anything additional to explain/share?</v>
          </cell>
          <cell r="FB6" t="str">
            <v>T2040: Anything additional to explain/share?</v>
          </cell>
          <cell r="FC6" t="str">
            <v>T1000: Anything additional to explain/share?</v>
          </cell>
          <cell r="FD6" t="str">
            <v>Created by</v>
          </cell>
          <cell r="FE6" t="str">
            <v>Created Date</v>
          </cell>
          <cell r="FF6" t="str">
            <v>Modified By</v>
          </cell>
          <cell r="FG6" t="str">
            <v>Modified Date</v>
          </cell>
        </row>
        <row r="7">
          <cell r="B7" t="str">
            <v>ABILITY AND CHOICE SERVICES</v>
          </cell>
          <cell r="C7">
            <v>800324268001</v>
          </cell>
          <cell r="D7" t="str">
            <v>Dan Fazzini Jr</v>
          </cell>
          <cell r="E7" t="str">
            <v>danjr@abilitychoice.org</v>
          </cell>
          <cell r="F7" t="str">
            <v>+1 (385) 800-5456</v>
          </cell>
          <cell r="G7" t="str">
            <v>H0038	Personal Budget Assistance; per 15 minutes
Other services or operations not listed above
S5102	Adult Day Care (Adult Day Health) or Adult day health services; per diem
T1021	Supportive Maintenance, home health aide or Home Health Aide or Certif Nurse Assist, per Visit
T2003	Non-medical transportation, one way trip</v>
          </cell>
          <cell r="I7"/>
          <cell r="L7" t="str">
            <v>Yes</v>
          </cell>
          <cell r="M7">
            <v>1</v>
          </cell>
          <cell r="N7">
            <v>166</v>
          </cell>
          <cell r="P7"/>
          <cell r="Q7"/>
          <cell r="R7"/>
          <cell r="S7"/>
          <cell r="T7"/>
          <cell r="U7"/>
          <cell r="V7"/>
          <cell r="W7"/>
          <cell r="X7"/>
          <cell r="Y7"/>
          <cell r="Z7"/>
          <cell r="AA7"/>
          <cell r="AB7"/>
          <cell r="AC7"/>
          <cell r="AD7"/>
          <cell r="AE7"/>
          <cell r="AF7" t="str">
            <v>Yes</v>
          </cell>
          <cell r="AG7">
            <v>0.92</v>
          </cell>
          <cell r="AH7">
            <v>16366</v>
          </cell>
          <cell r="AI7">
            <v>2.5</v>
          </cell>
          <cell r="AJ7"/>
          <cell r="AK7"/>
          <cell r="AL7"/>
          <cell r="AM7"/>
          <cell r="AN7"/>
          <cell r="AO7"/>
          <cell r="AP7"/>
          <cell r="AQ7"/>
          <cell r="AR7"/>
          <cell r="AS7"/>
          <cell r="AT7"/>
          <cell r="AU7"/>
          <cell r="AV7"/>
          <cell r="AW7"/>
          <cell r="AX7"/>
          <cell r="AY7"/>
          <cell r="AZ7"/>
          <cell r="BA7"/>
          <cell r="BB7"/>
          <cell r="BC7"/>
          <cell r="BD7"/>
          <cell r="BE7"/>
          <cell r="BF7"/>
          <cell r="BG7"/>
          <cell r="BH7"/>
          <cell r="BI7"/>
          <cell r="BJ7"/>
          <cell r="BK7" t="str">
            <v>Yes</v>
          </cell>
          <cell r="BL7">
            <v>1</v>
          </cell>
          <cell r="BM7">
            <v>4070</v>
          </cell>
          <cell r="BN7">
            <v>142.79999999999998</v>
          </cell>
          <cell r="BO7"/>
          <cell r="BP7"/>
          <cell r="BQ7"/>
          <cell r="BR7" t="str">
            <v>Yes</v>
          </cell>
          <cell r="BS7">
            <v>0.95</v>
          </cell>
          <cell r="BT7">
            <v>23770</v>
          </cell>
          <cell r="BU7">
            <v>6</v>
          </cell>
          <cell r="BV7">
            <v>160232</v>
          </cell>
          <cell r="BW7"/>
          <cell r="BX7"/>
          <cell r="BY7"/>
          <cell r="BZ7"/>
          <cell r="CA7"/>
          <cell r="CB7"/>
          <cell r="CC7"/>
          <cell r="CD7"/>
          <cell r="CE7"/>
          <cell r="CF7"/>
          <cell r="CG7"/>
          <cell r="CH7"/>
          <cell r="CI7"/>
          <cell r="CJ7"/>
          <cell r="CK7"/>
          <cell r="CL7"/>
          <cell r="CM7"/>
          <cell r="CN7"/>
          <cell r="CO7"/>
          <cell r="CP7"/>
          <cell r="CQ7"/>
          <cell r="CR7"/>
          <cell r="CS7"/>
          <cell r="CT7"/>
          <cell r="CU7"/>
          <cell r="CV7"/>
          <cell r="CW7"/>
          <cell r="CX7"/>
          <cell r="CY7"/>
          <cell r="CZ7"/>
          <cell r="DA7"/>
          <cell r="DB7"/>
          <cell r="DC7"/>
          <cell r="DD7"/>
          <cell r="DE7"/>
          <cell r="DF7"/>
          <cell r="DG7"/>
          <cell r="DH7"/>
          <cell r="DI7"/>
          <cell r="DJ7"/>
          <cell r="DK7"/>
          <cell r="DL7"/>
          <cell r="DM7"/>
          <cell r="DN7"/>
          <cell r="DO7"/>
          <cell r="DP7"/>
          <cell r="DQ7"/>
          <cell r="DR7"/>
          <cell r="DS7"/>
          <cell r="DT7"/>
          <cell r="DU7"/>
          <cell r="DV7"/>
          <cell r="DW7"/>
          <cell r="DX7"/>
          <cell r="DY7"/>
          <cell r="DZ7">
            <v>1249149</v>
          </cell>
          <cell r="EA7">
            <v>70750</v>
          </cell>
          <cell r="EB7">
            <v>184840</v>
          </cell>
          <cell r="EC7">
            <v>8320</v>
          </cell>
          <cell r="ED7">
            <v>0</v>
          </cell>
          <cell r="EE7">
            <v>48535</v>
          </cell>
          <cell r="EF7">
            <v>665240</v>
          </cell>
          <cell r="EG7" t="str">
            <v>Repairs, rent, utilities, supplies for activities, training, technology</v>
          </cell>
          <cell r="EH7"/>
          <cell r="EI7">
            <v>2971899</v>
          </cell>
          <cell r="EJ7">
            <v>1791989</v>
          </cell>
          <cell r="EK7">
            <v>304574</v>
          </cell>
          <cell r="EL7">
            <v>502203</v>
          </cell>
          <cell r="EM7">
            <v>288872</v>
          </cell>
          <cell r="EN7"/>
          <cell r="EO7"/>
          <cell r="EP7"/>
          <cell r="EQ7"/>
          <cell r="ER7"/>
          <cell r="ES7"/>
          <cell r="ET7"/>
          <cell r="EU7"/>
          <cell r="EV7"/>
          <cell r="EW7"/>
          <cell r="EX7"/>
          <cell r="EY7" t="str">
            <v>We did have a reliable way to track visits electronically for this services, just the total hours provided.  We provided 39738 quarter hours</v>
          </cell>
          <cell r="EZ7"/>
          <cell r="FA7" t="str">
            <v>Records are not kept electronically in this manner.  We had 12123 billed daily units MTP</v>
          </cell>
          <cell r="FB7"/>
          <cell r="FC7"/>
          <cell r="FD7" t="str">
            <v>web-form@smartsheet.com</v>
          </cell>
          <cell r="FE7">
            <v>45672.508897905092</v>
          </cell>
          <cell r="FF7" t="str">
            <v>sdyer@mslc.com</v>
          </cell>
          <cell r="FG7">
            <v>45707.357534722199</v>
          </cell>
        </row>
        <row r="8">
          <cell r="B8" t="str">
            <v>LEGACY VILLAGE OF PROVO</v>
          </cell>
          <cell r="C8">
            <v>1071522</v>
          </cell>
          <cell r="D8" t="str">
            <v>Jared Nye</v>
          </cell>
          <cell r="E8" t="str">
            <v>jaredn@wslm.biz</v>
          </cell>
          <cell r="F8" t="str">
            <v>+1 (801) 374-3384</v>
          </cell>
          <cell r="G8" t="str">
            <v>T2016	Adult Residential Services – (Licensed Assisted Living Facility, Memory Care Unit); per diem
T2031	Adult Residential Services (Assisted Living Facilities Level I, Level II, &amp; Type N Facilities); per diem</v>
          </cell>
          <cell r="I8"/>
          <cell r="M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cell r="BE8"/>
          <cell r="BF8"/>
          <cell r="BG8"/>
          <cell r="BH8"/>
          <cell r="BI8"/>
          <cell r="BJ8"/>
          <cell r="BK8"/>
          <cell r="BL8"/>
          <cell r="BM8"/>
          <cell r="BN8"/>
          <cell r="BO8"/>
          <cell r="BP8"/>
          <cell r="BQ8"/>
          <cell r="BR8"/>
          <cell r="BS8"/>
          <cell r="BT8"/>
          <cell r="BU8"/>
          <cell r="BV8"/>
          <cell r="BW8" t="str">
            <v>Yes</v>
          </cell>
          <cell r="BX8">
            <v>0.13100000000000001</v>
          </cell>
          <cell r="BY8">
            <v>12950.43</v>
          </cell>
          <cell r="BZ8">
            <v>17971.349999999999</v>
          </cell>
          <cell r="CA8">
            <v>3245.44</v>
          </cell>
          <cell r="CB8">
            <v>3567.98</v>
          </cell>
          <cell r="CC8">
            <v>4886.93</v>
          </cell>
          <cell r="CD8"/>
          <cell r="CE8">
            <v>11514.88</v>
          </cell>
          <cell r="CF8">
            <v>30</v>
          </cell>
          <cell r="CG8">
            <v>10436</v>
          </cell>
          <cell r="CH8">
            <v>1377</v>
          </cell>
          <cell r="CI8" t="str">
            <v>The dollar amounts in deprecation, interest, insurance, etc.  I took the total for the year, and multiplied it by the percent of those on the waiver of this service code.</v>
          </cell>
          <cell r="CJ8"/>
          <cell r="CK8"/>
          <cell r="CL8"/>
          <cell r="CM8"/>
          <cell r="CN8"/>
          <cell r="CO8"/>
          <cell r="CP8"/>
          <cell r="CQ8"/>
          <cell r="CR8"/>
          <cell r="CS8"/>
          <cell r="CT8"/>
          <cell r="CU8"/>
          <cell r="CV8"/>
          <cell r="CW8" t="str">
            <v>Yes</v>
          </cell>
          <cell r="CX8">
            <v>0.106</v>
          </cell>
          <cell r="CY8">
            <v>33838.239999999998</v>
          </cell>
          <cell r="CZ8">
            <v>46957.4</v>
          </cell>
          <cell r="DA8">
            <v>8480.02</v>
          </cell>
          <cell r="DB8">
            <v>9322.7800000000007</v>
          </cell>
          <cell r="DC8">
            <v>12769.08</v>
          </cell>
          <cell r="DD8"/>
          <cell r="DE8">
            <v>30087.29</v>
          </cell>
          <cell r="DF8">
            <v>120</v>
          </cell>
          <cell r="DG8">
            <v>33570</v>
          </cell>
          <cell r="DH8">
            <v>3563</v>
          </cell>
          <cell r="DI8" t="str">
            <v>The dollar amounts in deprecation, interest, insurance, etc.  I took the total for the year, and multiplied it by the percent of those on the waiver of this service code.</v>
          </cell>
          <cell r="DJ8"/>
          <cell r="DK8"/>
          <cell r="DL8"/>
          <cell r="DM8"/>
          <cell r="DN8"/>
          <cell r="DO8"/>
          <cell r="DP8"/>
          <cell r="DQ8"/>
          <cell r="DR8"/>
          <cell r="DS8"/>
          <cell r="DT8"/>
          <cell r="DU8"/>
          <cell r="DV8"/>
          <cell r="DW8"/>
          <cell r="DX8"/>
          <cell r="DY8"/>
          <cell r="DZ8">
            <v>33377</v>
          </cell>
          <cell r="EA8">
            <v>1947</v>
          </cell>
          <cell r="EB8">
            <v>63500</v>
          </cell>
          <cell r="EC8">
            <v>2080</v>
          </cell>
          <cell r="ED8">
            <v>0</v>
          </cell>
          <cell r="EE8">
            <v>0</v>
          </cell>
          <cell r="EF8">
            <v>0</v>
          </cell>
          <cell r="EG8"/>
          <cell r="EH8"/>
          <cell r="EI8">
            <v>6370243.4900000002</v>
          </cell>
          <cell r="EJ8">
            <v>2622631.85</v>
          </cell>
          <cell r="EK8">
            <v>590380.93000000005</v>
          </cell>
          <cell r="EL8">
            <v>6370243.4900000002</v>
          </cell>
          <cell r="EM8"/>
          <cell r="EN8"/>
          <cell r="EO8"/>
          <cell r="EP8"/>
          <cell r="EQ8"/>
          <cell r="ER8"/>
          <cell r="ES8"/>
          <cell r="ET8"/>
          <cell r="EU8"/>
          <cell r="EV8"/>
          <cell r="EW8"/>
          <cell r="EX8"/>
          <cell r="EY8"/>
          <cell r="EZ8"/>
          <cell r="FA8"/>
          <cell r="FB8"/>
          <cell r="FC8"/>
          <cell r="FD8" t="str">
            <v>web-form@smartsheet.com</v>
          </cell>
          <cell r="FE8">
            <v>45672.620198703706</v>
          </cell>
          <cell r="FF8" t="str">
            <v>web-form@smartsheet.com</v>
          </cell>
          <cell r="FG8">
            <v>45672.620198703706</v>
          </cell>
        </row>
        <row r="9">
          <cell r="B9" t="str">
            <v>HEBER VALLEY ASSISTED LIVING</v>
          </cell>
          <cell r="C9">
            <v>1447437421</v>
          </cell>
          <cell r="D9" t="str">
            <v>Mark Hymas</v>
          </cell>
          <cell r="E9" t="str">
            <v>hvalmark@gmail.com</v>
          </cell>
          <cell r="F9" t="str">
            <v>+1 (208) 317-6605</v>
          </cell>
          <cell r="G9" t="str">
            <v>T2031	Adult Residential Services (Assisted Living Facilities Level I, Level II, &amp; Type N Facilities); per diem</v>
          </cell>
          <cell r="I9"/>
          <cell r="M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cell r="CR9"/>
          <cell r="CS9"/>
          <cell r="CT9"/>
          <cell r="CU9"/>
          <cell r="CV9"/>
          <cell r="CW9" t="str">
            <v>Yes</v>
          </cell>
          <cell r="CX9">
            <v>0.14000000000000001</v>
          </cell>
          <cell r="CY9">
            <v>10920</v>
          </cell>
          <cell r="CZ9"/>
          <cell r="DA9">
            <v>630</v>
          </cell>
          <cell r="DB9">
            <v>910</v>
          </cell>
          <cell r="DC9">
            <v>3360</v>
          </cell>
          <cell r="DD9">
            <v>2520</v>
          </cell>
          <cell r="DE9">
            <v>5880</v>
          </cell>
          <cell r="DF9">
            <v>16</v>
          </cell>
          <cell r="DG9">
            <v>4930</v>
          </cell>
          <cell r="DH9">
            <v>803</v>
          </cell>
          <cell r="DI9"/>
          <cell r="DJ9"/>
          <cell r="DK9"/>
          <cell r="DL9"/>
          <cell r="DM9"/>
          <cell r="DN9"/>
          <cell r="DO9"/>
          <cell r="DP9"/>
          <cell r="DQ9"/>
          <cell r="DR9"/>
          <cell r="DS9"/>
          <cell r="DT9"/>
          <cell r="DU9"/>
          <cell r="DV9"/>
          <cell r="DW9"/>
          <cell r="DX9"/>
          <cell r="DY9"/>
          <cell r="DZ9">
            <v>49918</v>
          </cell>
          <cell r="EA9">
            <v>2603</v>
          </cell>
          <cell r="EB9">
            <v>7700</v>
          </cell>
          <cell r="EC9">
            <v>291</v>
          </cell>
          <cell r="ED9">
            <v>538</v>
          </cell>
          <cell r="EE9">
            <v>1617</v>
          </cell>
          <cell r="EF9">
            <v>5107</v>
          </cell>
          <cell r="EG9" t="str">
            <v>Taxes &amp; licenses, Office supplies, Patient Supplies (Briefs, wipes, etc),</v>
          </cell>
          <cell r="EH9" t="str">
            <v>These expenses are total expenses for these categories multiplied by the percentage of(14%) that applies to HCBS residents to come up with the numbers reported above</v>
          </cell>
          <cell r="EI9">
            <v>701357</v>
          </cell>
          <cell r="EJ9">
            <v>413536</v>
          </cell>
          <cell r="EK9">
            <v>60523</v>
          </cell>
          <cell r="EL9">
            <v>51968</v>
          </cell>
          <cell r="EM9"/>
          <cell r="EN9"/>
          <cell r="EO9"/>
          <cell r="EP9"/>
          <cell r="EQ9"/>
          <cell r="ER9"/>
          <cell r="ES9"/>
          <cell r="ET9"/>
          <cell r="EU9"/>
          <cell r="EV9"/>
          <cell r="EW9"/>
          <cell r="EX9"/>
          <cell r="EY9"/>
          <cell r="EZ9"/>
          <cell r="FA9"/>
          <cell r="FB9"/>
          <cell r="FC9"/>
          <cell r="FD9" t="str">
            <v>web-form@smartsheet.com</v>
          </cell>
          <cell r="FE9">
            <v>45672.661525185184</v>
          </cell>
          <cell r="FF9" t="str">
            <v>web-form@smartsheet.com</v>
          </cell>
          <cell r="FG9">
            <v>45672.661525185184</v>
          </cell>
        </row>
        <row r="10">
          <cell r="B10" t="str">
            <v>JANES HELPING HANDS LLC</v>
          </cell>
          <cell r="C10">
            <v>4275621</v>
          </cell>
          <cell r="D10" t="str">
            <v>Ilaisaane Feletoa</v>
          </cell>
          <cell r="E10" t="str">
            <v>ifeletoa@janeshelpinghands.org</v>
          </cell>
          <cell r="F10" t="str">
            <v>+1 (801) 637-9818</v>
          </cell>
          <cell r="G10" t="str">
            <v>H0043	Adult Residential Services – Certified Independent Living Facility; per diem</v>
          </cell>
          <cell r="I10"/>
          <cell r="M10"/>
          <cell r="P10" t="str">
            <v>Yes</v>
          </cell>
          <cell r="Q10">
            <v>1</v>
          </cell>
          <cell r="R10">
            <v>1569</v>
          </cell>
          <cell r="S10">
            <v>14398.53</v>
          </cell>
          <cell r="T10">
            <v>2000</v>
          </cell>
          <cell r="U10">
            <v>3000</v>
          </cell>
          <cell r="V10">
            <v>300</v>
          </cell>
          <cell r="W10">
            <v>200</v>
          </cell>
          <cell r="X10">
            <v>500</v>
          </cell>
          <cell r="Y10">
            <v>3</v>
          </cell>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cell r="CV10"/>
          <cell r="CW10"/>
          <cell r="CX10"/>
          <cell r="CY10"/>
          <cell r="CZ10"/>
          <cell r="DA10"/>
          <cell r="DB10"/>
          <cell r="DC10"/>
          <cell r="DD10"/>
          <cell r="DE10"/>
          <cell r="DF10"/>
          <cell r="DG10"/>
          <cell r="DH10"/>
          <cell r="DI10"/>
          <cell r="DJ10"/>
          <cell r="DK10"/>
          <cell r="DL10"/>
          <cell r="DM10"/>
          <cell r="DN10"/>
          <cell r="DO10"/>
          <cell r="DP10"/>
          <cell r="DQ10"/>
          <cell r="DR10"/>
          <cell r="DS10"/>
          <cell r="DT10"/>
          <cell r="DU10"/>
          <cell r="DV10"/>
          <cell r="DW10"/>
          <cell r="DX10"/>
          <cell r="DY10"/>
          <cell r="DZ10">
            <v>16</v>
          </cell>
          <cell r="EA10">
            <v>240</v>
          </cell>
          <cell r="EB10">
            <v>16</v>
          </cell>
          <cell r="EC10">
            <v>240</v>
          </cell>
          <cell r="ED10"/>
          <cell r="EE10"/>
          <cell r="EF10"/>
          <cell r="EG10"/>
          <cell r="EH10"/>
          <cell r="EI10"/>
          <cell r="EJ10"/>
          <cell r="EK10"/>
          <cell r="EL10"/>
          <cell r="EM10"/>
          <cell r="EN10"/>
          <cell r="EO10"/>
          <cell r="EP10"/>
          <cell r="EQ10"/>
          <cell r="ER10"/>
          <cell r="ES10"/>
          <cell r="ET10"/>
          <cell r="EU10"/>
          <cell r="EV10"/>
          <cell r="EW10"/>
          <cell r="EX10"/>
          <cell r="EY10"/>
          <cell r="EZ10"/>
          <cell r="FA10"/>
          <cell r="FB10"/>
          <cell r="FC10"/>
          <cell r="FD10" t="str">
            <v>web-form@smartsheet.com</v>
          </cell>
          <cell r="FE10">
            <v>45672.713241493053</v>
          </cell>
          <cell r="FF10" t="str">
            <v>web-form@smartsheet.com</v>
          </cell>
          <cell r="FG10">
            <v>45672.713241493053</v>
          </cell>
        </row>
        <row r="11">
          <cell r="B11" t="str">
            <v>A GENTLE TOUCH HOME CARE</v>
          </cell>
          <cell r="C11">
            <v>1417341777</v>
          </cell>
          <cell r="D11" t="str">
            <v>Brad Christensen</v>
          </cell>
          <cell r="E11" t="str">
            <v>bchristensen@agthomecare.com</v>
          </cell>
          <cell r="F11" t="str">
            <v>+1 (435) 674-3640</v>
          </cell>
          <cell r="G11" t="str">
            <v>S5130	Homemaker services; per 15 minutes
S5135	Companion care adult; per 15 minutes
S5150	Respite care services or Respite care services – Unskilled; per 15 minutes
T1019	Personal attendant service, agency-based; per 15 minutes
T1021	Supportive Maintenance, home health aide or Home Health Aide or Certif Nurse Assist, per Visit</v>
          </cell>
          <cell r="I11"/>
          <cell r="M11"/>
          <cell r="P11"/>
          <cell r="Q11"/>
          <cell r="R11"/>
          <cell r="S11"/>
          <cell r="T11"/>
          <cell r="U11"/>
          <cell r="V11"/>
          <cell r="W11"/>
          <cell r="X11"/>
          <cell r="Y11"/>
          <cell r="Z11"/>
          <cell r="AA11"/>
          <cell r="AB11"/>
          <cell r="AC11"/>
          <cell r="AD11"/>
          <cell r="AE11"/>
          <cell r="AF11"/>
          <cell r="AG11"/>
          <cell r="AH11"/>
          <cell r="AI11"/>
          <cell r="AJ11"/>
          <cell r="AK11"/>
          <cell r="AL11"/>
          <cell r="AM11" t="str">
            <v>Yes</v>
          </cell>
          <cell r="AN11">
            <v>1</v>
          </cell>
          <cell r="AO11">
            <v>2868</v>
          </cell>
          <cell r="AP11" t="str">
            <v>Yes</v>
          </cell>
          <cell r="AQ11">
            <v>1</v>
          </cell>
          <cell r="AR11">
            <v>3664</v>
          </cell>
          <cell r="AS11" t="str">
            <v>Yes</v>
          </cell>
          <cell r="AT11">
            <v>1</v>
          </cell>
          <cell r="AU11">
            <v>1012</v>
          </cell>
          <cell r="AV11"/>
          <cell r="AW11"/>
          <cell r="AX11"/>
          <cell r="AY11"/>
          <cell r="AZ11"/>
          <cell r="BA11"/>
          <cell r="BB11"/>
          <cell r="BC11"/>
          <cell r="BD11"/>
          <cell r="BE11"/>
          <cell r="BF11"/>
          <cell r="BG11"/>
          <cell r="BH11" t="str">
            <v>Yes</v>
          </cell>
          <cell r="BI11">
            <v>1</v>
          </cell>
          <cell r="BJ11">
            <v>999</v>
          </cell>
          <cell r="BK11" t="str">
            <v>Yes</v>
          </cell>
          <cell r="BL11">
            <v>1</v>
          </cell>
          <cell r="BM11">
            <v>28284</v>
          </cell>
          <cell r="BN11">
            <v>75</v>
          </cell>
          <cell r="BO11"/>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cell r="CY11"/>
          <cell r="CZ11"/>
          <cell r="DA11"/>
          <cell r="DB11"/>
          <cell r="DC11"/>
          <cell r="DD11"/>
          <cell r="DE11"/>
          <cell r="DF11"/>
          <cell r="DG11"/>
          <cell r="DH11"/>
          <cell r="DI11"/>
          <cell r="DJ11"/>
          <cell r="DK11"/>
          <cell r="DL11"/>
          <cell r="DM11"/>
          <cell r="DN11"/>
          <cell r="DO11"/>
          <cell r="DP11"/>
          <cell r="DQ11"/>
          <cell r="DR11"/>
          <cell r="DS11"/>
          <cell r="DT11"/>
          <cell r="DU11"/>
          <cell r="DV11"/>
          <cell r="DW11"/>
          <cell r="DX11"/>
          <cell r="DY11"/>
          <cell r="DZ11">
            <v>870000</v>
          </cell>
          <cell r="EA11">
            <v>30000</v>
          </cell>
          <cell r="EB11">
            <v>100000</v>
          </cell>
          <cell r="EC11">
            <v>4800</v>
          </cell>
          <cell r="ED11">
            <v>0</v>
          </cell>
          <cell r="EE11">
            <v>50000</v>
          </cell>
          <cell r="EF11">
            <v>400000</v>
          </cell>
          <cell r="EG11" t="str">
            <v>Caregiver supplies, travel, mileage, training, onboarding, compliance management, support, IT services for caregiver documentation, scheduling, human resources. billing and collections, communication and phones, equipment for direct support staff.</v>
          </cell>
          <cell r="EH11" t="str">
            <v>Due to increasing costs of caregiver wages, benefits, gas prices, etc, we operating at a loss on all Aging, New Choice Waiver and T1019 visits. For T1021 clients we have be very careful how we utilize our resources in order to meet their needs as they are much higher risk individuals in general. they require much more care and attention. and due to the high volume of these people needing care in our service area we are in a very tough spot when it comes to accepting everyone we need to due to the concerns mentioned here. we try to coordinate care with our competitors as best we can but they are in the same position. in addition, the individuals who require these services are at a major risk of hospitalization because home care agencies are able to accept every referral because of the negative financial impact it has on the operation. We have to operate on very thin margins just to serve the clients that we do have on serve.  these low reimbursement rates also make it extremely difficult to retain care staff because we aren't able to pay enough in wages to compete with the large hospital, SNF and Hospice operations that are offering considerably more in our market. I fear that we dont find a way to increase reimbursement many more high risk, low income individuals will go without this crucial level of care.</v>
          </cell>
          <cell r="EI11">
            <v>1454800</v>
          </cell>
          <cell r="EJ11">
            <v>1141000</v>
          </cell>
          <cell r="EK11">
            <v>228000</v>
          </cell>
          <cell r="EL11">
            <v>85800</v>
          </cell>
          <cell r="EM11"/>
          <cell r="EN11"/>
          <cell r="EO11"/>
          <cell r="EP11"/>
          <cell r="EQ11"/>
          <cell r="ER11"/>
          <cell r="ES11"/>
          <cell r="ET11"/>
          <cell r="EU11"/>
          <cell r="EV11"/>
          <cell r="EW11"/>
          <cell r="EX11" t="str">
            <v>T1019 is billed per hour so I entered 999 which reflects total hours served.</v>
          </cell>
          <cell r="EY11" t="str">
            <v>1.25 hours is what im referring to above.</v>
          </cell>
          <cell r="EZ11"/>
          <cell r="FA11"/>
          <cell r="FB11"/>
          <cell r="FC11"/>
          <cell r="FD11" t="str">
            <v>web-form@smartsheet.com</v>
          </cell>
          <cell r="FE11">
            <v>45673.38490164352</v>
          </cell>
          <cell r="FF11" t="str">
            <v>sdyer@mslc.com</v>
          </cell>
          <cell r="FG11">
            <v>45706.540254629632</v>
          </cell>
        </row>
        <row r="12">
          <cell r="B12" t="str">
            <v>MONROE CANYON ASSISTED LIVING</v>
          </cell>
          <cell r="C12">
            <v>5301592601</v>
          </cell>
          <cell r="D12" t="str">
            <v>Bryan Castle</v>
          </cell>
          <cell r="E12" t="str">
            <v>bryan@monroecanyon.com</v>
          </cell>
          <cell r="F12" t="str">
            <v>+1 (435) 527-8870</v>
          </cell>
          <cell r="G12" t="str">
            <v>T2031	Adult Residential Services (Assisted Living Facilities Level I, Level II, &amp; Type N Facilities); per diem</v>
          </cell>
          <cell r="I12"/>
          <cell r="M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t="str">
            <v>Yes</v>
          </cell>
          <cell r="CX12">
            <v>0.04</v>
          </cell>
          <cell r="CY12">
            <v>42000</v>
          </cell>
          <cell r="CZ12">
            <v>6000</v>
          </cell>
          <cell r="DA12">
            <v>400</v>
          </cell>
          <cell r="DB12">
            <v>570</v>
          </cell>
          <cell r="DC12">
            <v>2000</v>
          </cell>
          <cell r="DD12">
            <v>920</v>
          </cell>
          <cell r="DE12">
            <v>2700</v>
          </cell>
          <cell r="DF12">
            <v>27</v>
          </cell>
          <cell r="DG12">
            <v>8400</v>
          </cell>
          <cell r="DH12">
            <v>365</v>
          </cell>
          <cell r="DI12"/>
          <cell r="DJ12"/>
          <cell r="DK12"/>
          <cell r="DL12"/>
          <cell r="DM12"/>
          <cell r="DN12"/>
          <cell r="DO12"/>
          <cell r="DP12"/>
          <cell r="DQ12"/>
          <cell r="DR12"/>
          <cell r="DS12"/>
          <cell r="DT12"/>
          <cell r="DU12"/>
          <cell r="DV12"/>
          <cell r="DW12"/>
          <cell r="DX12"/>
          <cell r="DY12"/>
          <cell r="DZ12">
            <v>370000</v>
          </cell>
          <cell r="EA12">
            <v>20555</v>
          </cell>
          <cell r="EB12">
            <v>130000</v>
          </cell>
          <cell r="EC12">
            <v>2000</v>
          </cell>
          <cell r="ED12">
            <v>0</v>
          </cell>
          <cell r="EE12">
            <v>0</v>
          </cell>
          <cell r="EF12">
            <v>0</v>
          </cell>
          <cell r="EG12"/>
          <cell r="EH12"/>
          <cell r="EI12">
            <v>843000</v>
          </cell>
          <cell r="EJ12">
            <v>461500</v>
          </cell>
          <cell r="EK12">
            <v>140000</v>
          </cell>
          <cell r="EL12">
            <v>97000</v>
          </cell>
          <cell r="EM12"/>
          <cell r="EN12"/>
          <cell r="EO12"/>
          <cell r="EP12"/>
          <cell r="EQ12"/>
          <cell r="ER12"/>
          <cell r="ES12"/>
          <cell r="ET12"/>
          <cell r="EU12"/>
          <cell r="EV12"/>
          <cell r="EW12"/>
          <cell r="EX12"/>
          <cell r="EY12"/>
          <cell r="EZ12"/>
          <cell r="FA12"/>
          <cell r="FB12"/>
          <cell r="FC12"/>
          <cell r="FD12" t="str">
            <v>web-form@smartsheet.com</v>
          </cell>
          <cell r="FE12">
            <v>45673.669433043979</v>
          </cell>
          <cell r="FF12" t="str">
            <v>web-form@smartsheet.com</v>
          </cell>
          <cell r="FG12">
            <v>45673.669433043979</v>
          </cell>
        </row>
        <row r="13">
          <cell r="B13" t="str">
            <v>RAINTREE SENIOR LIVING</v>
          </cell>
          <cell r="C13">
            <v>463482799</v>
          </cell>
          <cell r="D13" t="str">
            <v>Jane Weyburn</v>
          </cell>
          <cell r="E13" t="str">
            <v>admin@raintreeassisted.com</v>
          </cell>
          <cell r="F13" t="str">
            <v>+1 (435) 668-8841</v>
          </cell>
          <cell r="G13" t="str">
            <v>T2031	Adult Residential Services (Assisted Living Facilities Level I, Level II, &amp; Type N Facilities); per diem</v>
          </cell>
          <cell r="H13"/>
          <cell r="I13"/>
          <cell r="K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cell r="BE13"/>
          <cell r="BF13"/>
          <cell r="BG13"/>
          <cell r="BH13"/>
          <cell r="BI13"/>
          <cell r="BJ13"/>
          <cell r="BK13"/>
          <cell r="BL13"/>
          <cell r="BM13"/>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t="str">
            <v>Yes</v>
          </cell>
          <cell r="CX13">
            <v>0.30170000000000002</v>
          </cell>
          <cell r="CY13">
            <v>81730.22</v>
          </cell>
          <cell r="CZ13">
            <v>64857.86</v>
          </cell>
          <cell r="DA13">
            <v>2721.61</v>
          </cell>
          <cell r="DB13">
            <v>7410</v>
          </cell>
          <cell r="DC13">
            <v>39321.699999999997</v>
          </cell>
          <cell r="DD13">
            <v>8336.68</v>
          </cell>
          <cell r="DE13">
            <v>510801.36</v>
          </cell>
          <cell r="DF13">
            <v>50</v>
          </cell>
          <cell r="DG13">
            <v>9347</v>
          </cell>
          <cell r="DH13">
            <v>3273</v>
          </cell>
          <cell r="DI13"/>
          <cell r="DJ13"/>
          <cell r="DK13"/>
          <cell r="DL13"/>
          <cell r="DM13"/>
          <cell r="DN13"/>
          <cell r="DO13"/>
          <cell r="DP13"/>
          <cell r="DQ13"/>
          <cell r="DR13"/>
          <cell r="DS13"/>
          <cell r="DT13"/>
          <cell r="DU13"/>
          <cell r="DV13"/>
          <cell r="DW13"/>
          <cell r="DX13"/>
          <cell r="DY13"/>
          <cell r="DZ13">
            <v>524272.56</v>
          </cell>
          <cell r="EA13">
            <v>28895.01</v>
          </cell>
          <cell r="EB13"/>
          <cell r="EC13"/>
          <cell r="ED13"/>
          <cell r="EE13">
            <v>6000</v>
          </cell>
          <cell r="EF13"/>
          <cell r="EG13"/>
          <cell r="EH13"/>
          <cell r="EI13">
            <v>1168974.28</v>
          </cell>
          <cell r="EJ13">
            <v>589272.48</v>
          </cell>
          <cell r="EK13">
            <v>48206.79</v>
          </cell>
          <cell r="EL13">
            <v>94549.61</v>
          </cell>
          <cell r="EM13"/>
          <cell r="EN13"/>
          <cell r="EO13"/>
          <cell r="EP13"/>
          <cell r="EQ13"/>
          <cell r="ER13"/>
          <cell r="ES13"/>
          <cell r="ET13"/>
          <cell r="EU13"/>
          <cell r="EV13"/>
          <cell r="EW13"/>
          <cell r="EX13"/>
          <cell r="EY13"/>
          <cell r="EZ13"/>
          <cell r="FA13"/>
          <cell r="FB13"/>
          <cell r="FC13"/>
          <cell r="FD13" t="str">
            <v>web-form@smartsheet.com</v>
          </cell>
          <cell r="FE13">
            <v>45674.453570636571</v>
          </cell>
          <cell r="FF13" t="str">
            <v>web-form@smartsheet.com</v>
          </cell>
          <cell r="FG13">
            <v>45674.453570636571</v>
          </cell>
        </row>
        <row r="14">
          <cell r="B14" t="str">
            <v>BEEHIVE STATE PAYEE</v>
          </cell>
          <cell r="C14">
            <v>4013618</v>
          </cell>
          <cell r="D14" t="str">
            <v>Anne Ringle</v>
          </cell>
          <cell r="E14" t="str">
            <v>intake@beehivestatepayee.com</v>
          </cell>
          <cell r="F14" t="str">
            <v>+1 (801) 699-0753</v>
          </cell>
          <cell r="G14" t="str">
            <v>H0038	Personal Budget Assistance; per 15 minutes</v>
          </cell>
          <cell r="I14"/>
          <cell r="L14" t="str">
            <v>Yes</v>
          </cell>
          <cell r="M14">
            <v>1</v>
          </cell>
          <cell r="N14">
            <v>16845</v>
          </cell>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cell r="BE14"/>
          <cell r="BF14"/>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cell r="CV14"/>
          <cell r="CW14"/>
          <cell r="CX14"/>
          <cell r="CY14"/>
          <cell r="CZ14"/>
          <cell r="DA14"/>
          <cell r="DB14"/>
          <cell r="DC14"/>
          <cell r="DD14"/>
          <cell r="DE14"/>
          <cell r="DF14"/>
          <cell r="DG14"/>
          <cell r="DH14"/>
          <cell r="DI14"/>
          <cell r="DJ14"/>
          <cell r="DK14"/>
          <cell r="DL14"/>
          <cell r="DM14"/>
          <cell r="DN14"/>
          <cell r="DO14"/>
          <cell r="DP14"/>
          <cell r="DQ14"/>
          <cell r="DR14"/>
          <cell r="DS14"/>
          <cell r="DT14"/>
          <cell r="DU14"/>
          <cell r="DV14"/>
          <cell r="DW14"/>
          <cell r="DX14"/>
          <cell r="DY14"/>
          <cell r="DZ14">
            <v>0</v>
          </cell>
          <cell r="EA14">
            <v>0</v>
          </cell>
          <cell r="EB14">
            <v>0</v>
          </cell>
          <cell r="EC14">
            <v>0</v>
          </cell>
          <cell r="ED14">
            <v>72207.42</v>
          </cell>
          <cell r="EE14">
            <v>0</v>
          </cell>
          <cell r="EF14">
            <v>12094.98</v>
          </cell>
          <cell r="EG14" t="str">
            <v>Training, insurance, encrypted email, PEX pre-paid card subscriptions for clients, Walmart/Amazon subscriptions, Employee CPR/First Aid Training, BSP Website, Faxdeck, Business Licenses, LLC renewal, AFCU client fees, Dochub for employees, Square, G suite emails for employees, DACS/fingerprint fees, Yearli, Incentives, office supplies, CPA fee.</v>
          </cell>
          <cell r="EH14" t="str">
            <v>All Personal Budget Assistants at Beehive State Payee are 1099 contractors. Below is breakdown of supervisor hours and 1099 hours. 
Sup Hours: 2529
Sup Pay: $36692.61
1099 Hours 2596.75
1099 Pay $35514.81
*Two Beehive State Payee owners are the only W-2s.</v>
          </cell>
          <cell r="EI14">
            <v>131145.01</v>
          </cell>
          <cell r="EJ14">
            <v>44625.570000000007</v>
          </cell>
          <cell r="EK14">
            <v>4918.4800000000005</v>
          </cell>
          <cell r="EL14">
            <v>4000</v>
          </cell>
          <cell r="EM14"/>
          <cell r="EN14"/>
          <cell r="EO14"/>
          <cell r="EP14"/>
          <cell r="EQ14"/>
          <cell r="ER14"/>
          <cell r="ES14"/>
          <cell r="ET14"/>
          <cell r="EU14"/>
          <cell r="EV14"/>
          <cell r="EW14"/>
          <cell r="EX14"/>
          <cell r="EY14"/>
          <cell r="EZ14"/>
          <cell r="FA14"/>
          <cell r="FB14"/>
          <cell r="FC14"/>
          <cell r="FD14" t="str">
            <v>web-form@smartsheet.com</v>
          </cell>
          <cell r="FE14">
            <v>45675.760178032404</v>
          </cell>
          <cell r="FF14" t="str">
            <v>sdyer@mslc.com</v>
          </cell>
          <cell r="FG14">
            <v>45706.501458333332</v>
          </cell>
        </row>
        <row r="15">
          <cell r="B15" t="str">
            <v>ROSECREST ASSISTED LIVING</v>
          </cell>
          <cell r="C15">
            <v>1245017979</v>
          </cell>
          <cell r="D15" t="str">
            <v>Ronald Shalvis</v>
          </cell>
          <cell r="E15" t="str">
            <v>ronshalvis@gmail.com</v>
          </cell>
          <cell r="F15" t="str">
            <v>+1 (801) 836-6300</v>
          </cell>
          <cell r="G15" t="str">
            <v>T2031	Adult Residential Services (Assisted Living Facilities Level I, Level II, &amp; Type N Facilities); per diem</v>
          </cell>
          <cell r="I15"/>
          <cell r="M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t="str">
            <v>Yes</v>
          </cell>
          <cell r="CX15">
            <v>0.8</v>
          </cell>
          <cell r="CY15">
            <v>78000</v>
          </cell>
          <cell r="CZ15">
            <v>68000</v>
          </cell>
          <cell r="DA15">
            <v>2900</v>
          </cell>
          <cell r="DB15">
            <v>3000</v>
          </cell>
          <cell r="DC15">
            <v>9600</v>
          </cell>
          <cell r="DD15">
            <v>6000</v>
          </cell>
          <cell r="DE15">
            <v>36000</v>
          </cell>
          <cell r="DF15">
            <v>12</v>
          </cell>
          <cell r="DG15">
            <v>2920</v>
          </cell>
          <cell r="DH15">
            <v>2555</v>
          </cell>
          <cell r="DI15" t="str">
            <v>Need day rate increases. Its hard to stay open on mostly medicaid residents</v>
          </cell>
          <cell r="DJ15"/>
          <cell r="DK15"/>
          <cell r="DL15"/>
          <cell r="DM15"/>
          <cell r="DN15"/>
          <cell r="DO15"/>
          <cell r="DP15"/>
          <cell r="DQ15"/>
          <cell r="DR15"/>
          <cell r="DS15"/>
          <cell r="DT15"/>
          <cell r="DU15"/>
          <cell r="DV15"/>
          <cell r="DW15"/>
          <cell r="DX15"/>
          <cell r="DY15"/>
          <cell r="DZ15">
            <v>95000</v>
          </cell>
          <cell r="EA15">
            <v>6333</v>
          </cell>
          <cell r="EB15">
            <v>30860</v>
          </cell>
          <cell r="EC15">
            <v>4160</v>
          </cell>
          <cell r="ED15">
            <v>0</v>
          </cell>
          <cell r="EE15">
            <v>2500</v>
          </cell>
          <cell r="EF15">
            <v>70000</v>
          </cell>
          <cell r="EG15" t="str">
            <v>includes all expenses except payroll wages
Wages for direct care supervisors are the owners.  very little income for owners</v>
          </cell>
          <cell r="EH15"/>
          <cell r="EI15">
            <v>258172</v>
          </cell>
          <cell r="EJ15">
            <v>110000</v>
          </cell>
          <cell r="EK15">
            <v>7718</v>
          </cell>
          <cell r="EL15">
            <v>19000</v>
          </cell>
          <cell r="EM15"/>
          <cell r="EN15"/>
          <cell r="EO15"/>
          <cell r="EP15"/>
          <cell r="EQ15"/>
          <cell r="ER15"/>
          <cell r="ES15"/>
          <cell r="ET15"/>
          <cell r="EU15"/>
          <cell r="EV15"/>
          <cell r="EW15"/>
          <cell r="EX15"/>
          <cell r="EY15"/>
          <cell r="EZ15"/>
          <cell r="FA15"/>
          <cell r="FB15"/>
          <cell r="FC15"/>
          <cell r="FD15" t="str">
            <v>web-form@smartsheet.com</v>
          </cell>
          <cell r="FE15">
            <v>45677.83759815972</v>
          </cell>
          <cell r="FF15" t="str">
            <v>web-form@smartsheet.com</v>
          </cell>
          <cell r="FG15">
            <v>45677.83759815972</v>
          </cell>
        </row>
        <row r="16">
          <cell r="B16" t="str">
            <v>BEEHIVE HOMES OF VERNAL</v>
          </cell>
          <cell r="C16">
            <v>1699309641</v>
          </cell>
          <cell r="D16" t="str">
            <v>Chad Hall</v>
          </cell>
          <cell r="E16" t="str">
            <v>beehiveofvernal@gmail.com</v>
          </cell>
          <cell r="F16" t="str">
            <v>+1 (435) 789-3456</v>
          </cell>
          <cell r="G16" t="str">
            <v>T2016	Adult Residential Services – (Licensed Assisted Living Facility, Memory Care Unit); per diem
T2031	Adult Residential Services (Assisted Living Facilities Level I, Level II, &amp; Type N Facilities); per diem</v>
          </cell>
          <cell r="I16"/>
          <cell r="M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t="str">
            <v>Yes</v>
          </cell>
          <cell r="BX16">
            <v>0.05</v>
          </cell>
          <cell r="BY16"/>
          <cell r="BZ16"/>
          <cell r="CA16"/>
          <cell r="CB16"/>
          <cell r="CC16"/>
          <cell r="CD16"/>
          <cell r="CE16"/>
          <cell r="CF16"/>
          <cell r="CG16"/>
          <cell r="CH16"/>
          <cell r="CI16"/>
          <cell r="CJ16"/>
          <cell r="CK16"/>
          <cell r="CL16"/>
          <cell r="CM16"/>
          <cell r="CN16"/>
          <cell r="CO16"/>
          <cell r="CP16"/>
          <cell r="CQ16"/>
          <cell r="CR16"/>
          <cell r="CS16"/>
          <cell r="CT16"/>
          <cell r="CU16"/>
          <cell r="CV16"/>
          <cell r="CW16" t="str">
            <v>Yes</v>
          </cell>
          <cell r="CX16">
            <v>0.05</v>
          </cell>
          <cell r="CY16"/>
          <cell r="CZ16"/>
          <cell r="DA16"/>
          <cell r="DB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C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D16" t="str">
            <v>web-form@smartsheet.com</v>
          </cell>
          <cell r="FE16">
            <v>45678.463433611112</v>
          </cell>
          <cell r="FF16" t="str">
            <v>web-form@smartsheet.com</v>
          </cell>
          <cell r="FG16">
            <v>45678.463433611112</v>
          </cell>
        </row>
        <row r="17">
          <cell r="B17" t="str">
            <v>BEEHIVE HOMES OF NAPLES</v>
          </cell>
          <cell r="C17">
            <v>1497389225</v>
          </cell>
          <cell r="D17" t="str">
            <v>Chad Hall</v>
          </cell>
          <cell r="E17" t="str">
            <v>beehiveofvernal@gmail.com</v>
          </cell>
          <cell r="F17" t="str">
            <v>+1 (435) 789-6789</v>
          </cell>
          <cell r="G17" t="str">
            <v>T2031	Adult Residential Services (Assisted Living Facilities Level I, Level II, &amp; Type N Facilities); per diem</v>
          </cell>
          <cell r="I17"/>
          <cell r="M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cell r="CV17"/>
          <cell r="CW17" t="str">
            <v>No</v>
          </cell>
          <cell r="CX17">
            <v>0</v>
          </cell>
          <cell r="CY17"/>
          <cell r="CZ17"/>
          <cell r="DA17"/>
          <cell r="DB17"/>
          <cell r="DC17"/>
          <cell r="DD17"/>
          <cell r="DE17"/>
          <cell r="DF17"/>
          <cell r="DG17"/>
          <cell r="DH17"/>
          <cell r="DI17"/>
          <cell r="DJ17"/>
          <cell r="DK17"/>
          <cell r="DL17"/>
          <cell r="DM17"/>
          <cell r="DN17"/>
          <cell r="DO17"/>
          <cell r="DP17"/>
          <cell r="DQ17"/>
          <cell r="DR17"/>
          <cell r="DS17"/>
          <cell r="DT17"/>
          <cell r="DU17"/>
          <cell r="DV17"/>
          <cell r="DW17"/>
          <cell r="DX17"/>
          <cell r="DY17"/>
          <cell r="DZ17"/>
          <cell r="EA17"/>
          <cell r="EB17"/>
          <cell r="EC17"/>
          <cell r="EE17"/>
          <cell r="EF17"/>
          <cell r="EG17"/>
          <cell r="EH17"/>
          <cell r="EI17"/>
          <cell r="EJ17"/>
          <cell r="EK17"/>
          <cell r="EL17"/>
          <cell r="EM17"/>
          <cell r="EN17"/>
          <cell r="EO17"/>
          <cell r="EP17"/>
          <cell r="EQ17"/>
          <cell r="ER17"/>
          <cell r="ES17"/>
          <cell r="ET17"/>
          <cell r="EU17"/>
          <cell r="EV17"/>
          <cell r="EW17"/>
          <cell r="EX17"/>
          <cell r="EY17"/>
          <cell r="EZ17"/>
          <cell r="FA17"/>
          <cell r="FB17"/>
          <cell r="FC17"/>
          <cell r="FD17" t="str">
            <v>web-form@smartsheet.com</v>
          </cell>
          <cell r="FE17">
            <v>45678.464533599537</v>
          </cell>
          <cell r="FF17" t="str">
            <v>web-form@smartsheet.com</v>
          </cell>
          <cell r="FG17">
            <v>45678.464533599537</v>
          </cell>
        </row>
        <row r="18">
          <cell r="B18" t="str">
            <v>BEEHIVE HOMES OF MAESER</v>
          </cell>
          <cell r="C18">
            <v>1447884275</v>
          </cell>
          <cell r="D18" t="str">
            <v>Chad Hall</v>
          </cell>
          <cell r="E18" t="str">
            <v>beehiveofvernal@gmail.com</v>
          </cell>
          <cell r="F18" t="str">
            <v>+1 (435) 789-6969</v>
          </cell>
          <cell r="G18" t="str">
            <v>T2031	Adult Residential Services (Assisted Living Facilities Level I, Level II, &amp; Type N Facilities); per diem</v>
          </cell>
          <cell r="I18"/>
          <cell r="M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cell r="BE18"/>
          <cell r="BF18"/>
          <cell r="BG18"/>
          <cell r="BH18"/>
          <cell r="BI18"/>
          <cell r="BJ18"/>
          <cell r="BK18"/>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cell r="CW18" t="str">
            <v>Yes</v>
          </cell>
          <cell r="CX18">
            <v>0.1</v>
          </cell>
          <cell r="CY18"/>
          <cell r="CZ18"/>
          <cell r="DA18"/>
          <cell r="DB18"/>
          <cell r="DC18"/>
          <cell r="DD18"/>
          <cell r="DE18"/>
          <cell r="DF18"/>
          <cell r="DG18"/>
          <cell r="DH18"/>
          <cell r="DI18" t="str">
            <v>first survey was filled out incorrectly. this one is correct</v>
          </cell>
          <cell r="DJ18"/>
          <cell r="DK18"/>
          <cell r="DL18"/>
          <cell r="DM18"/>
          <cell r="DN18"/>
          <cell r="DO18"/>
          <cell r="DP18"/>
          <cell r="DQ18"/>
          <cell r="DR18"/>
          <cell r="DS18"/>
          <cell r="DT18"/>
          <cell r="DU18"/>
          <cell r="DV18"/>
          <cell r="DW18"/>
          <cell r="DX18"/>
          <cell r="DY18"/>
          <cell r="DZ18"/>
          <cell r="EA18"/>
          <cell r="EB18"/>
          <cell r="EC18"/>
          <cell r="ED18"/>
          <cell r="EE18"/>
          <cell r="EF18"/>
          <cell r="EG18"/>
          <cell r="EH18"/>
          <cell r="EI18"/>
          <cell r="EJ18"/>
          <cell r="EK18"/>
          <cell r="EL18"/>
          <cell r="EM18"/>
          <cell r="EN18"/>
          <cell r="EO18"/>
          <cell r="EP18"/>
          <cell r="EQ18"/>
          <cell r="ER18"/>
          <cell r="ES18"/>
          <cell r="ET18"/>
          <cell r="EU18"/>
          <cell r="EV18"/>
          <cell r="EW18"/>
          <cell r="EX18"/>
          <cell r="EY18"/>
          <cell r="EZ18"/>
          <cell r="FA18"/>
          <cell r="FB18"/>
          <cell r="FC18"/>
          <cell r="FD18" t="str">
            <v>web-form@smartsheet.com</v>
          </cell>
          <cell r="FE18">
            <v>45678.465880115742</v>
          </cell>
          <cell r="FF18" t="str">
            <v>web-form@smartsheet.com</v>
          </cell>
          <cell r="FG18">
            <v>45678.465880115742</v>
          </cell>
        </row>
        <row r="19">
          <cell r="B19" t="str">
            <v>BRIGHTSTAR CARE MOUNTAINSIDE</v>
          </cell>
          <cell r="C19">
            <v>1124441993</v>
          </cell>
          <cell r="D19" t="str">
            <v>Tammara Brown</v>
          </cell>
          <cell r="E19" t="str">
            <v>tammara.brown@brightstarcare.com</v>
          </cell>
          <cell r="F19" t="str">
            <v>+1 (801) 559-3999</v>
          </cell>
          <cell r="G19" t="str">
            <v>S5150	Respite care services or Respite care services – Unskilled; per 15 minutes</v>
          </cell>
          <cell r="I19"/>
          <cell r="M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t="str">
            <v>No</v>
          </cell>
          <cell r="AT19">
            <v>0.05</v>
          </cell>
          <cell r="AU19">
            <v>8320</v>
          </cell>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B19"/>
          <cell r="DC19"/>
          <cell r="DD19"/>
          <cell r="DE19"/>
          <cell r="DF19"/>
          <cell r="DG19"/>
          <cell r="DH19"/>
          <cell r="DI19"/>
          <cell r="DJ19"/>
          <cell r="DK19"/>
          <cell r="DL19"/>
          <cell r="DM19"/>
          <cell r="DN19"/>
          <cell r="DO19"/>
          <cell r="DP19"/>
          <cell r="DQ19"/>
          <cell r="DR19"/>
          <cell r="DS19"/>
          <cell r="DT19"/>
          <cell r="DU19"/>
          <cell r="DV19"/>
          <cell r="DW19"/>
          <cell r="DX19"/>
          <cell r="DY19"/>
          <cell r="DZ19">
            <v>38480</v>
          </cell>
          <cell r="EA19">
            <v>2080</v>
          </cell>
          <cell r="EB19">
            <v>4680</v>
          </cell>
          <cell r="EC19">
            <v>104</v>
          </cell>
          <cell r="ED19">
            <v>0</v>
          </cell>
          <cell r="EE19">
            <v>0</v>
          </cell>
          <cell r="EF19">
            <v>7696</v>
          </cell>
          <cell r="EG19" t="str">
            <v>Payroll taxes, workers compensation insurance, health insurance, etc</v>
          </cell>
          <cell r="EH19"/>
          <cell r="EI19">
            <v>3028906</v>
          </cell>
          <cell r="EJ19">
            <v>2531607</v>
          </cell>
          <cell r="EK19">
            <v>400000</v>
          </cell>
          <cell r="EL19">
            <v>326232</v>
          </cell>
          <cell r="EM19"/>
          <cell r="EN19"/>
          <cell r="EO19"/>
          <cell r="EP19"/>
          <cell r="EQ19"/>
          <cell r="ER19"/>
          <cell r="ES19"/>
          <cell r="ET19"/>
          <cell r="EU19"/>
          <cell r="EV19"/>
          <cell r="EW19"/>
          <cell r="EX19"/>
          <cell r="EY19"/>
          <cell r="EZ19"/>
          <cell r="FA19"/>
          <cell r="FB19"/>
          <cell r="FC19"/>
          <cell r="FD19" t="str">
            <v>web-form@smartsheet.com</v>
          </cell>
          <cell r="FE19">
            <v>45680.517519131943</v>
          </cell>
          <cell r="FF19" t="str">
            <v>web-form@smartsheet.com</v>
          </cell>
          <cell r="FG19">
            <v>45680.517519131943</v>
          </cell>
        </row>
        <row r="20">
          <cell r="B20" t="str">
            <v>NANUMAS TENDOR LOVE HOMECARE</v>
          </cell>
          <cell r="C20" t="str">
            <v>000000000</v>
          </cell>
          <cell r="D20" t="str">
            <v>Maheikau Lavulavu</v>
          </cell>
          <cell r="E20" t="str">
            <v>nanumastenderlovehomecarellc@gmail.com</v>
          </cell>
          <cell r="F20" t="str">
            <v>+1 (602) 301-3119</v>
          </cell>
          <cell r="G20" t="str">
            <v>Other services or operations not listed above</v>
          </cell>
          <cell r="I20"/>
          <cell r="M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cell r="BE20"/>
          <cell r="BF20"/>
          <cell r="BG20"/>
          <cell r="BH20"/>
          <cell r="BI20"/>
          <cell r="BJ20"/>
          <cell r="BK20"/>
          <cell r="BL20"/>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cell r="CW20"/>
          <cell r="CX20"/>
          <cell r="CY20"/>
          <cell r="CZ20"/>
          <cell r="DA20"/>
          <cell r="DB20"/>
          <cell r="DC20"/>
          <cell r="DD20"/>
          <cell r="DE20"/>
          <cell r="DF20"/>
          <cell r="DG20"/>
          <cell r="DH20"/>
          <cell r="DI20"/>
          <cell r="DJ20"/>
          <cell r="DK20"/>
          <cell r="DL20"/>
          <cell r="DM20"/>
          <cell r="DN20"/>
          <cell r="DO20"/>
          <cell r="DP20"/>
          <cell r="DQ20"/>
          <cell r="DR20"/>
          <cell r="DS20"/>
          <cell r="DT20"/>
          <cell r="DU20"/>
          <cell r="DV20"/>
          <cell r="DW20"/>
          <cell r="DX20"/>
          <cell r="DY20"/>
          <cell r="DZ20"/>
          <cell r="EA20"/>
          <cell r="EB20"/>
          <cell r="EC20"/>
          <cell r="ED20"/>
          <cell r="EE20"/>
          <cell r="EF20"/>
          <cell r="EG20"/>
          <cell r="EH20"/>
          <cell r="EI20"/>
          <cell r="EJ20"/>
          <cell r="EK20"/>
          <cell r="EL20"/>
          <cell r="EM20"/>
          <cell r="EN20"/>
          <cell r="EO20"/>
          <cell r="EP20"/>
          <cell r="EQ20"/>
          <cell r="ER20"/>
          <cell r="ES20"/>
          <cell r="ET20"/>
          <cell r="EU20"/>
          <cell r="EV20"/>
          <cell r="EW20"/>
          <cell r="EX20"/>
          <cell r="EY20"/>
          <cell r="EZ20"/>
          <cell r="FA20"/>
          <cell r="FB20"/>
          <cell r="FC20"/>
          <cell r="FD20" t="str">
            <v>web-form@smartsheet.com</v>
          </cell>
          <cell r="FE20">
            <v>45684.536975532406</v>
          </cell>
          <cell r="FF20" t="str">
            <v>web-form@smartsheet.com</v>
          </cell>
          <cell r="FG20">
            <v>45684.536975532406</v>
          </cell>
        </row>
        <row r="21">
          <cell r="B21" t="str">
            <v>HEALTH WATCH PROVO</v>
          </cell>
          <cell r="C21">
            <v>1093763427</v>
          </cell>
          <cell r="D21" t="str">
            <v>Trudy Northcutt</v>
          </cell>
          <cell r="E21" t="str">
            <v>trudy@healthwatchutah.com</v>
          </cell>
          <cell r="F21" t="str">
            <v>+1 (801) 225-0599</v>
          </cell>
          <cell r="G21" t="str">
            <v>T1005	Respite care services; per 15 minutes</v>
          </cell>
          <cell r="I21"/>
          <cell r="M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t="str">
            <v>Yes</v>
          </cell>
          <cell r="BC21">
            <v>0.01</v>
          </cell>
          <cell r="BD21">
            <v>795</v>
          </cell>
          <cell r="BE21"/>
          <cell r="BF21"/>
          <cell r="BG21"/>
          <cell r="BH21"/>
          <cell r="BI21"/>
          <cell r="BJ21"/>
          <cell r="BK21"/>
          <cell r="BL21"/>
          <cell r="BM21"/>
          <cell r="BN21"/>
          <cell r="BO21"/>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cell r="CV21"/>
          <cell r="CW21"/>
          <cell r="CX21"/>
          <cell r="CY21"/>
          <cell r="CZ21"/>
          <cell r="DA21"/>
          <cell r="DB21"/>
          <cell r="DC21"/>
          <cell r="DD21"/>
          <cell r="DE21"/>
          <cell r="DF21"/>
          <cell r="DG21"/>
          <cell r="DH21"/>
          <cell r="DI21"/>
          <cell r="DJ21"/>
          <cell r="DK21"/>
          <cell r="DL21"/>
          <cell r="DM21"/>
          <cell r="DN21"/>
          <cell r="DO21"/>
          <cell r="DP21"/>
          <cell r="DQ21"/>
          <cell r="DR21"/>
          <cell r="DS21"/>
          <cell r="DT21"/>
          <cell r="DU21"/>
          <cell r="DV21"/>
          <cell r="DW21"/>
          <cell r="DX21"/>
          <cell r="DY21"/>
          <cell r="DZ21">
            <v>6757.5</v>
          </cell>
          <cell r="EA21">
            <v>198.75</v>
          </cell>
          <cell r="EB21">
            <v>936</v>
          </cell>
          <cell r="EC21">
            <v>24</v>
          </cell>
          <cell r="ED21">
            <v>0</v>
          </cell>
          <cell r="EE21">
            <v>0</v>
          </cell>
          <cell r="EF21">
            <v>0</v>
          </cell>
          <cell r="EG21"/>
          <cell r="EH21"/>
          <cell r="EI21">
            <v>2505537</v>
          </cell>
          <cell r="EJ21">
            <v>1833540</v>
          </cell>
          <cell r="EK21">
            <v>109840</v>
          </cell>
          <cell r="EL21">
            <v>166000</v>
          </cell>
          <cell r="EM21"/>
          <cell r="EN21"/>
          <cell r="EO21"/>
          <cell r="EP21"/>
          <cell r="EQ21"/>
          <cell r="ER21"/>
          <cell r="ES21"/>
          <cell r="ET21"/>
          <cell r="EU21"/>
          <cell r="EV21"/>
          <cell r="EW21"/>
          <cell r="EX21"/>
          <cell r="EY21"/>
          <cell r="EZ21"/>
          <cell r="FA21"/>
          <cell r="FB21"/>
          <cell r="FC21"/>
          <cell r="FD21" t="str">
            <v>web-form@smartsheet.com</v>
          </cell>
          <cell r="FE21">
            <v>45693.525641087967</v>
          </cell>
          <cell r="FF21" t="str">
            <v>web-form@smartsheet.com</v>
          </cell>
          <cell r="FG21">
            <v>45693.525641087967</v>
          </cell>
        </row>
        <row r="22">
          <cell r="B22" t="str">
            <v>ADVOCATES FOR INDEPENDENCE</v>
          </cell>
          <cell r="C22">
            <v>461989678</v>
          </cell>
          <cell r="D22" t="str">
            <v>Wendy de la Cruz</v>
          </cell>
          <cell r="E22" t="str">
            <v>wdelacruz@ad4ind.com</v>
          </cell>
          <cell r="F22" t="str">
            <v>+1 (801) 234-9510</v>
          </cell>
          <cell r="G22" t="str">
            <v>T1016	Case management; per 15 minutes</v>
          </cell>
          <cell r="I22"/>
          <cell r="M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cell r="BE22" t="str">
            <v>Yes</v>
          </cell>
          <cell r="BF22">
            <v>1</v>
          </cell>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B22"/>
          <cell r="DC22"/>
          <cell r="DD22"/>
          <cell r="DE22"/>
          <cell r="DF22"/>
          <cell r="DG22"/>
          <cell r="DH22"/>
          <cell r="DI22"/>
          <cell r="DJ22"/>
          <cell r="DK22"/>
          <cell r="DL22"/>
          <cell r="DM22"/>
          <cell r="DN22"/>
          <cell r="DO22"/>
          <cell r="DP22"/>
          <cell r="DQ22"/>
          <cell r="DR22"/>
          <cell r="DS22"/>
          <cell r="DT22"/>
          <cell r="DU22"/>
          <cell r="DV22"/>
          <cell r="DW22"/>
          <cell r="DX22"/>
          <cell r="DY22"/>
          <cell r="DZ22">
            <v>282225</v>
          </cell>
          <cell r="EA22">
            <v>9569</v>
          </cell>
          <cell r="EB22">
            <v>269798</v>
          </cell>
          <cell r="EC22">
            <v>4200</v>
          </cell>
          <cell r="ED22">
            <v>121365</v>
          </cell>
          <cell r="EE22">
            <v>19202</v>
          </cell>
          <cell r="EF22">
            <v>98220</v>
          </cell>
          <cell r="EG22" t="str">
            <v>The agency has overhead costs associated with service delivery of billing codes. These costs include paid travel time, mileage, overnight stays and food.</v>
          </cell>
          <cell r="EH22" t="str">
            <v>The agency has payroll expenses for support staff. The payroll consists billable and non-billable tasks. The staff who provides service delivery get reduced pay for travel. The agency has several company cars, which is an expense due to agency paying gas and maintenance costs.</v>
          </cell>
          <cell r="EI22">
            <v>944881</v>
          </cell>
          <cell r="EJ22">
            <v>693777</v>
          </cell>
          <cell r="EK22">
            <v>35812</v>
          </cell>
          <cell r="EL22">
            <v>944881</v>
          </cell>
          <cell r="EM22"/>
          <cell r="EN22"/>
          <cell r="EO22"/>
          <cell r="EP22"/>
          <cell r="EQ22"/>
          <cell r="ER22"/>
          <cell r="ES22"/>
          <cell r="ET22"/>
          <cell r="EU22"/>
          <cell r="EV22"/>
          <cell r="EW22" t="str">
            <v>Under NCW we use two billing codes, T1016 and T2024.  This agency does not separate the billing codes when it comes to staff payroll. The numbers above include both billing codes.</v>
          </cell>
          <cell r="EX22"/>
          <cell r="EY22"/>
          <cell r="EZ22"/>
          <cell r="FA22"/>
          <cell r="FB22"/>
          <cell r="FC22"/>
          <cell r="FD22" t="str">
            <v>web-form@smartsheet.com</v>
          </cell>
          <cell r="FE22">
            <v>45694.533615335647</v>
          </cell>
          <cell r="FF22" t="str">
            <v>web-form@smartsheet.com</v>
          </cell>
          <cell r="FG22">
            <v>45694.533615335647</v>
          </cell>
        </row>
        <row r="23">
          <cell r="B23" t="str">
            <v>I CARE HOME HLTH HOSPICE</v>
          </cell>
          <cell r="C23">
            <v>1679879837</v>
          </cell>
          <cell r="D23" t="str">
            <v>Jill Erickson</v>
          </cell>
          <cell r="E23" t="str">
            <v>jill@icarehhh.com</v>
          </cell>
          <cell r="F23" t="str">
            <v>+1 (801) 427-4723</v>
          </cell>
          <cell r="G23" t="str">
            <v>S5125	Attendant Care Services or Personal attendant service, participant employed; per 15 minutes
S5130	Homemaker services; per 15 minutes
S5135	Companion care adult; per 15 minutes
T2003	Non-medical transportation, one way trip</v>
          </cell>
          <cell r="I23"/>
          <cell r="M23"/>
          <cell r="P23"/>
          <cell r="Q23"/>
          <cell r="R23"/>
          <cell r="S23"/>
          <cell r="T23"/>
          <cell r="U23"/>
          <cell r="V23"/>
          <cell r="W23"/>
          <cell r="X23"/>
          <cell r="Y23"/>
          <cell r="Z23"/>
          <cell r="AA23"/>
          <cell r="AB23"/>
          <cell r="AC23"/>
          <cell r="AD23"/>
          <cell r="AE23"/>
          <cell r="AF23"/>
          <cell r="AG23"/>
          <cell r="AH23"/>
          <cell r="AI23"/>
          <cell r="AJ23" t="str">
            <v>Yes</v>
          </cell>
          <cell r="AK23">
            <v>0.05</v>
          </cell>
          <cell r="AL23"/>
          <cell r="AM23" t="str">
            <v>Yes</v>
          </cell>
          <cell r="AN23">
            <v>0.01</v>
          </cell>
          <cell r="AO23"/>
          <cell r="AP23" t="str">
            <v>Yes</v>
          </cell>
          <cell r="AQ23">
            <v>0.01</v>
          </cell>
          <cell r="AR23"/>
          <cell r="AS23"/>
          <cell r="AT23"/>
          <cell r="AU23"/>
          <cell r="AV23"/>
          <cell r="AW23"/>
          <cell r="AX23"/>
          <cell r="AY23"/>
          <cell r="AZ23"/>
          <cell r="BA23"/>
          <cell r="BB23"/>
          <cell r="BC23"/>
          <cell r="BD23"/>
          <cell r="BE23"/>
          <cell r="BF23"/>
          <cell r="BG23"/>
          <cell r="BH23"/>
          <cell r="BI23"/>
          <cell r="BJ23"/>
          <cell r="BK23"/>
          <cell r="BL23"/>
          <cell r="BM23"/>
          <cell r="BN23"/>
          <cell r="BO23"/>
          <cell r="BP23"/>
          <cell r="BQ23"/>
          <cell r="BR23" t="str">
            <v>Yes</v>
          </cell>
          <cell r="BS23">
            <v>0.01</v>
          </cell>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cell r="CV23"/>
          <cell r="CW23"/>
          <cell r="CX23"/>
          <cell r="CY23"/>
          <cell r="CZ23"/>
          <cell r="DA23"/>
          <cell r="DB23"/>
          <cell r="DC23"/>
          <cell r="DD23"/>
          <cell r="DE23"/>
          <cell r="DF23"/>
          <cell r="DG23"/>
          <cell r="DH23"/>
          <cell r="DI23"/>
          <cell r="DJ23"/>
          <cell r="DK23"/>
          <cell r="DL23"/>
          <cell r="DM23"/>
          <cell r="DN23"/>
          <cell r="DO23"/>
          <cell r="DP23"/>
          <cell r="DQ23"/>
          <cell r="DR23"/>
          <cell r="DS23"/>
          <cell r="DT23"/>
          <cell r="DU23"/>
          <cell r="DV23"/>
          <cell r="DW23"/>
          <cell r="DX23"/>
          <cell r="DY23"/>
          <cell r="DZ23"/>
          <cell r="EA23"/>
          <cell r="EB23"/>
          <cell r="EC23"/>
          <cell r="ED23"/>
          <cell r="EE23"/>
          <cell r="EF23"/>
          <cell r="EG23"/>
          <cell r="EH23"/>
          <cell r="EI23"/>
          <cell r="EJ23"/>
          <cell r="EK23"/>
          <cell r="EL23"/>
          <cell r="EM23"/>
          <cell r="EN23"/>
          <cell r="EO23"/>
          <cell r="EP23"/>
          <cell r="EQ23"/>
          <cell r="ER23"/>
          <cell r="ES23"/>
          <cell r="ET23"/>
          <cell r="EU23"/>
          <cell r="EV23"/>
          <cell r="EW23"/>
          <cell r="EX23"/>
          <cell r="EY23"/>
          <cell r="EZ23"/>
          <cell r="FA23"/>
          <cell r="FB23"/>
          <cell r="FC23"/>
          <cell r="FD23" t="str">
            <v>web-form@smartsheet.com</v>
          </cell>
          <cell r="FE23">
            <v>45698.370559502313</v>
          </cell>
          <cell r="FF23" t="str">
            <v>web-form@smartsheet.com</v>
          </cell>
          <cell r="FG23">
            <v>45698.370559502313</v>
          </cell>
        </row>
        <row r="24">
          <cell r="B24" t="str">
            <v>TURN COMMUNITY SERVICES</v>
          </cell>
          <cell r="C24">
            <v>1699815803</v>
          </cell>
          <cell r="D24" t="str">
            <v>Phillip Shumway</v>
          </cell>
          <cell r="E24" t="str">
            <v>philshumway@turndreams.org</v>
          </cell>
          <cell r="F24" t="str">
            <v>+1 (801) 524-8603</v>
          </cell>
          <cell r="G24" t="str">
            <v>Other services or operations not listed above
S5102	Adult Day Care (Adult Day Health) or Adult day health services; per diem
S5135	Companion care adult; per 15 minutes
T1005	Respite care services; per 15 minutes
T2017	Habilitation Services; per diem</v>
          </cell>
          <cell r="I24"/>
          <cell r="M24"/>
          <cell r="P24"/>
          <cell r="Q24"/>
          <cell r="R24"/>
          <cell r="S24"/>
          <cell r="T24"/>
          <cell r="U24"/>
          <cell r="V24"/>
          <cell r="W24"/>
          <cell r="X24"/>
          <cell r="Y24"/>
          <cell r="Z24"/>
          <cell r="AA24"/>
          <cell r="AB24"/>
          <cell r="AC24"/>
          <cell r="AD24"/>
          <cell r="AE24"/>
          <cell r="AF24" t="str">
            <v>Yes</v>
          </cell>
          <cell r="AG24">
            <v>0.98</v>
          </cell>
          <cell r="AH24">
            <v>66359</v>
          </cell>
          <cell r="AI24">
            <v>6</v>
          </cell>
          <cell r="AJ24"/>
          <cell r="AK24"/>
          <cell r="AL24"/>
          <cell r="AM24"/>
          <cell r="AN24"/>
          <cell r="AO24"/>
          <cell r="AP24" t="str">
            <v>Yes</v>
          </cell>
          <cell r="AQ24">
            <v>1</v>
          </cell>
          <cell r="AR24">
            <v>136170</v>
          </cell>
          <cell r="AS24"/>
          <cell r="AT24"/>
          <cell r="AU24"/>
          <cell r="AV24"/>
          <cell r="AW24"/>
          <cell r="AX24"/>
          <cell r="AY24"/>
          <cell r="AZ24"/>
          <cell r="BA24"/>
          <cell r="BB24" t="str">
            <v>Yes</v>
          </cell>
          <cell r="BC24">
            <v>0.99</v>
          </cell>
          <cell r="BD24">
            <v>1920</v>
          </cell>
          <cell r="BE24"/>
          <cell r="BF24"/>
          <cell r="BG24"/>
          <cell r="BH24"/>
          <cell r="BI24"/>
          <cell r="BJ24"/>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t="str">
            <v>Yes</v>
          </cell>
          <cell r="CK24">
            <v>1</v>
          </cell>
          <cell r="CL24">
            <v>224408</v>
          </cell>
          <cell r="CM24">
            <v>29973</v>
          </cell>
          <cell r="CN24">
            <v>0</v>
          </cell>
          <cell r="CO24">
            <v>16150</v>
          </cell>
          <cell r="CP24">
            <v>63198</v>
          </cell>
          <cell r="CQ24">
            <v>100990</v>
          </cell>
          <cell r="CR24"/>
          <cell r="CS24">
            <v>137</v>
          </cell>
          <cell r="CT24">
            <v>44981</v>
          </cell>
          <cell r="CU24">
            <v>44981</v>
          </cell>
          <cell r="CV24"/>
          <cell r="CW24"/>
          <cell r="CX24"/>
          <cell r="CY24"/>
          <cell r="CZ24"/>
          <cell r="DA24"/>
          <cell r="DB24"/>
          <cell r="DC24"/>
          <cell r="DD24"/>
          <cell r="DE24"/>
          <cell r="DF24"/>
          <cell r="DG24"/>
          <cell r="DH24"/>
          <cell r="DI24"/>
          <cell r="DJ24"/>
          <cell r="DK24"/>
          <cell r="DL24"/>
          <cell r="DM24"/>
          <cell r="DN24"/>
          <cell r="DO24"/>
          <cell r="DP24"/>
          <cell r="DQ24"/>
          <cell r="DR24"/>
          <cell r="DS24"/>
          <cell r="DT24"/>
          <cell r="DU24"/>
          <cell r="DV24"/>
          <cell r="DW24"/>
          <cell r="DX24"/>
          <cell r="DY24"/>
          <cell r="DZ24">
            <v>9146225</v>
          </cell>
          <cell r="EA24">
            <v>476620</v>
          </cell>
          <cell r="EB24">
            <v>3362770</v>
          </cell>
          <cell r="EC24">
            <v>116668</v>
          </cell>
          <cell r="ED24">
            <v>114927</v>
          </cell>
          <cell r="EE24">
            <v>937463</v>
          </cell>
          <cell r="EF24">
            <v>331138</v>
          </cell>
          <cell r="EG24" t="str">
            <v>Supplies, copier leases, liability insurance, licenses &amp; permits, employee recruitment, Internet services, employee incentives.</v>
          </cell>
          <cell r="EH24"/>
          <cell r="EI24">
            <v>22349356</v>
          </cell>
          <cell r="EJ24">
            <v>14455119</v>
          </cell>
          <cell r="EK24">
            <v>3479521</v>
          </cell>
          <cell r="EL24">
            <v>3149395</v>
          </cell>
          <cell r="EM24">
            <v>4872719</v>
          </cell>
          <cell r="EN24"/>
          <cell r="EO24"/>
          <cell r="EP24"/>
          <cell r="EQ24"/>
          <cell r="ER24"/>
          <cell r="ES24"/>
          <cell r="ET24"/>
          <cell r="EU24"/>
          <cell r="EV24"/>
          <cell r="EW24"/>
          <cell r="EX24"/>
          <cell r="EY24"/>
          <cell r="EZ24"/>
          <cell r="FA24"/>
          <cell r="FB24"/>
          <cell r="FC24"/>
          <cell r="FD24" t="str">
            <v>web-form@smartsheet.com</v>
          </cell>
          <cell r="FE24">
            <v>45700.583561458334</v>
          </cell>
          <cell r="FF24" t="str">
            <v>sdyer@mslc.com</v>
          </cell>
          <cell r="FG24">
            <v>45721.410243055558</v>
          </cell>
        </row>
        <row r="25">
          <cell r="B25" t="str">
            <v>ROCKY MOUNTAIN CARE - GROVE CREEK ASSISTED LIVING</v>
          </cell>
          <cell r="C25">
            <v>1558988923</v>
          </cell>
          <cell r="D25" t="str">
            <v>Thiennga Nielson</v>
          </cell>
          <cell r="E25" t="str">
            <v>thiennga.nielson@rmcare.com</v>
          </cell>
          <cell r="F25" t="str">
            <v>+1 (801) 660-4007</v>
          </cell>
          <cell r="G25" t="str">
            <v>T2031	Adult Residential Services (Assisted Living Facilities Level I, Level II, &amp; Type N Facilities); per diem</v>
          </cell>
          <cell r="I25"/>
          <cell r="M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cell r="CV25"/>
          <cell r="CW25" t="str">
            <v>Yes</v>
          </cell>
          <cell r="CX25">
            <v>0.3</v>
          </cell>
          <cell r="CY25">
            <v>478140</v>
          </cell>
          <cell r="CZ25"/>
          <cell r="DA25">
            <v>19800</v>
          </cell>
          <cell r="DB25">
            <v>989</v>
          </cell>
          <cell r="DC25">
            <v>79831</v>
          </cell>
          <cell r="DD25">
            <v>5811</v>
          </cell>
          <cell r="DE25">
            <v>137049</v>
          </cell>
          <cell r="DF25">
            <v>70</v>
          </cell>
          <cell r="DG25">
            <v>19994</v>
          </cell>
          <cell r="DH25">
            <v>8360</v>
          </cell>
          <cell r="DI25"/>
          <cell r="DJ25"/>
          <cell r="DK25"/>
          <cell r="DL25"/>
          <cell r="DM25"/>
          <cell r="DN25"/>
          <cell r="DO25"/>
          <cell r="DP25"/>
          <cell r="DQ25"/>
          <cell r="DR25"/>
          <cell r="DS25"/>
          <cell r="DT25"/>
          <cell r="DU25"/>
          <cell r="DV25"/>
          <cell r="DW25"/>
          <cell r="DX25"/>
          <cell r="DY25"/>
          <cell r="DZ25">
            <v>600044</v>
          </cell>
          <cell r="EA25">
            <v>33628</v>
          </cell>
          <cell r="EB25">
            <v>73097</v>
          </cell>
          <cell r="EC25">
            <v>1790</v>
          </cell>
          <cell r="ED25">
            <v>77020</v>
          </cell>
          <cell r="EE25">
            <v>447</v>
          </cell>
          <cell r="EF25">
            <v>61994</v>
          </cell>
          <cell r="EG25" t="str">
            <v>ORIENTATION &amp; EDUCATION	535.12
EMPLOYEE BENEFITS	254.48
PAYROLL TAXES	39,024.60
GROUP HEALTH INSURANCE	1,655.21
WORKERS COMPENSATION	6,981.89
NURSING SUPPLIES	4,588.35
MINOR EQUIPMENT	1,499.65
EMPLOYEE RECRUITMENT	5,503.51
SEMINARS &amp; EDUCATION	1,950.99</v>
          </cell>
          <cell r="EH25"/>
          <cell r="EI25">
            <v>1785138</v>
          </cell>
          <cell r="EJ25">
            <v>853321</v>
          </cell>
          <cell r="EK25">
            <v>107969</v>
          </cell>
          <cell r="EL25">
            <v>454129</v>
          </cell>
          <cell r="EM25"/>
          <cell r="EN25"/>
          <cell r="EO25"/>
          <cell r="EP25"/>
          <cell r="EQ25"/>
          <cell r="ER25"/>
          <cell r="ES25"/>
          <cell r="ET25"/>
          <cell r="EU25"/>
          <cell r="EV25"/>
          <cell r="EW25"/>
          <cell r="EX25"/>
          <cell r="EY25"/>
          <cell r="EZ25"/>
          <cell r="FA25"/>
          <cell r="FB25"/>
          <cell r="FC25"/>
          <cell r="FD25" t="str">
            <v>web-form@smartsheet.com</v>
          </cell>
          <cell r="FE25">
            <v>45701.557796238427</v>
          </cell>
          <cell r="FF25" t="str">
            <v>web-form@smartsheet.com</v>
          </cell>
          <cell r="FG25">
            <v>45701.557796238427</v>
          </cell>
        </row>
        <row r="26">
          <cell r="B26" t="str">
            <v>BEEHIVE HOMES OF SALT LAKE CITY</v>
          </cell>
          <cell r="C26">
            <v>874804296000</v>
          </cell>
          <cell r="D26" t="str">
            <v>Troy Veach BeeHive Homes of Salt lake</v>
          </cell>
          <cell r="E26" t="str">
            <v>veach.beehivehomes@gmail.com</v>
          </cell>
          <cell r="F26" t="str">
            <v>+1 (402) 490-6369</v>
          </cell>
          <cell r="G26" t="str">
            <v>T2016	Adult Residential Services – (Licensed Assisted Living Facility, Memory Care Unit); per diem</v>
          </cell>
          <cell r="I26"/>
          <cell r="M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t="str">
            <v>Yes</v>
          </cell>
          <cell r="BX26">
            <v>0.08</v>
          </cell>
          <cell r="BY26">
            <v>5500</v>
          </cell>
          <cell r="BZ26">
            <v>5500</v>
          </cell>
          <cell r="CA26"/>
          <cell r="CB26"/>
          <cell r="CC26"/>
          <cell r="CD26"/>
          <cell r="CE26"/>
          <cell r="CF26">
            <v>24</v>
          </cell>
          <cell r="CG26"/>
          <cell r="CH26"/>
          <cell r="CI26" t="str">
            <v>We get paid $90.90 a day for a resident on Choice waiver,  where I can rent the room to a non Waiver person for $5500 a month  or $184 a day.  From a business stance, it makes no sense for me to accept Waiver people unless you can  up the daily payment.</v>
          </cell>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A26"/>
          <cell r="FB26"/>
          <cell r="FC26"/>
          <cell r="FD26" t="str">
            <v>web-form@smartsheet.com</v>
          </cell>
          <cell r="FE26">
            <v>45701.576560370369</v>
          </cell>
          <cell r="FF26" t="str">
            <v>web-form@smartsheet.com</v>
          </cell>
          <cell r="FG26">
            <v>45701.576560370369</v>
          </cell>
        </row>
        <row r="27">
          <cell r="B27" t="str">
            <v>COMFORCARE NORTHERN UT NC</v>
          </cell>
          <cell r="C27">
            <v>133650857</v>
          </cell>
          <cell r="D27" t="str">
            <v>Stephen Eborn</v>
          </cell>
          <cell r="E27" t="str">
            <v>seborn@comforcare.com</v>
          </cell>
          <cell r="F27" t="str">
            <v>+1 (435) 754-7676</v>
          </cell>
          <cell r="G27" t="str">
            <v>S5125	Attendant Care Services or Personal attendant service, participant employed; per 15 minutes
S5130	Homemaker services; per 15 minutes
S5135	Companion care adult; per 15 minutes
S5150	Respite care services or Respite care services – Unskilled; per 15 minutes
T1005	Respite care services; per 15 minutes
T1021	Supportive Maintenance, home health aide or Home Health Aide or Certif Nurse Assist, per Visit
T2003	Non-medical transportation, one way trip</v>
          </cell>
          <cell r="I27"/>
          <cell r="M27"/>
          <cell r="P27"/>
          <cell r="Q27"/>
          <cell r="R27"/>
          <cell r="S27"/>
          <cell r="T27"/>
          <cell r="U27"/>
          <cell r="V27"/>
          <cell r="W27"/>
          <cell r="X27"/>
          <cell r="Y27"/>
          <cell r="Z27"/>
          <cell r="AA27"/>
          <cell r="AB27"/>
          <cell r="AC27"/>
          <cell r="AD27"/>
          <cell r="AE27"/>
          <cell r="AF27"/>
          <cell r="AG27"/>
          <cell r="AH27"/>
          <cell r="AI27"/>
          <cell r="AJ27" t="str">
            <v>Yes</v>
          </cell>
          <cell r="AK27">
            <v>7.0000000000000007E-2</v>
          </cell>
          <cell r="AL27">
            <v>489</v>
          </cell>
          <cell r="AM27" t="str">
            <v>Yes</v>
          </cell>
          <cell r="AN27">
            <v>7.0000000000000007E-2</v>
          </cell>
          <cell r="AO27">
            <v>243</v>
          </cell>
          <cell r="AP27" t="str">
            <v>No</v>
          </cell>
          <cell r="AQ27">
            <v>0</v>
          </cell>
          <cell r="AR27">
            <v>0</v>
          </cell>
          <cell r="AS27" t="str">
            <v>No</v>
          </cell>
          <cell r="AT27">
            <v>0</v>
          </cell>
          <cell r="AU27">
            <v>0</v>
          </cell>
          <cell r="AV27"/>
          <cell r="AW27"/>
          <cell r="AX27"/>
          <cell r="AY27"/>
          <cell r="AZ27"/>
          <cell r="BA27"/>
          <cell r="BB27" t="str">
            <v>No</v>
          </cell>
          <cell r="BC27">
            <v>0</v>
          </cell>
          <cell r="BD27">
            <v>0</v>
          </cell>
          <cell r="BE27"/>
          <cell r="BF27"/>
          <cell r="BG27"/>
          <cell r="BH27"/>
          <cell r="BI27"/>
          <cell r="BJ27"/>
          <cell r="BK27" t="str">
            <v>Yes</v>
          </cell>
          <cell r="BL27">
            <v>0.15</v>
          </cell>
          <cell r="BM27">
            <v>960</v>
          </cell>
          <cell r="BN27">
            <v>60</v>
          </cell>
          <cell r="BO27"/>
          <cell r="BP27"/>
          <cell r="BQ27"/>
          <cell r="BR27" t="str">
            <v>Yes</v>
          </cell>
          <cell r="BS27">
            <v>0.02</v>
          </cell>
          <cell r="BT27">
            <v>145</v>
          </cell>
          <cell r="BU27">
            <v>1</v>
          </cell>
          <cell r="BV27">
            <v>0</v>
          </cell>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v>2400</v>
          </cell>
          <cell r="EA27">
            <v>145</v>
          </cell>
          <cell r="EB27">
            <v>20610</v>
          </cell>
          <cell r="EC27">
            <v>145</v>
          </cell>
          <cell r="ED27">
            <v>0</v>
          </cell>
          <cell r="EE27">
            <v>1450</v>
          </cell>
          <cell r="EF27">
            <v>900</v>
          </cell>
          <cell r="EG27" t="str">
            <v>Mile reimbursement to employee for driving client to and from destinations</v>
          </cell>
          <cell r="EH27"/>
          <cell r="EI27"/>
          <cell r="EJ27"/>
          <cell r="EK27"/>
          <cell r="EL27"/>
          <cell r="EM27"/>
          <cell r="EN27"/>
          <cell r="EO27"/>
          <cell r="EP27"/>
          <cell r="EQ27"/>
          <cell r="ER27"/>
          <cell r="ES27"/>
          <cell r="ET27"/>
          <cell r="EU27"/>
          <cell r="EV27"/>
          <cell r="EW27"/>
          <cell r="EX27"/>
          <cell r="EY27"/>
          <cell r="EZ27"/>
          <cell r="FA27"/>
          <cell r="FB27"/>
          <cell r="FC27"/>
          <cell r="FD27" t="str">
            <v>web-form@smartsheet.com</v>
          </cell>
          <cell r="FE27">
            <v>45702.465247905093</v>
          </cell>
          <cell r="FF27" t="str">
            <v>sdyer@mslc.com</v>
          </cell>
          <cell r="FG27">
            <v>45721.413229166668</v>
          </cell>
        </row>
        <row r="28">
          <cell r="B28" t="str">
            <v>AVAMERE AT MOUNTAIN RIDGE</v>
          </cell>
          <cell r="C28">
            <v>1609336395</v>
          </cell>
          <cell r="D28" t="str">
            <v>Brent Croxford</v>
          </cell>
          <cell r="E28" t="str">
            <v>bcroxford@avamerecommunities.com</v>
          </cell>
          <cell r="F28" t="str">
            <v>+1 (801) 475-5111</v>
          </cell>
          <cell r="G28" t="str">
            <v>H0034	Medication Administration – Medication Set-up; per 15 minutes
H0045	Respite Care – Overnight, Out of Home, Room &amp; Board included or Respite Care Services – LTC facility; per diem
S5150	Respite care services or Respite care services – Unskilled; per 15 minutes
T2016	Adult Residential Services – (Licensed Assisted Living Facility, Memory Care Unit); per diem
T2031	Adult Residential Services (Assisted Living Facilities Level I, Level II, &amp; Type N Facilities); per diem</v>
          </cell>
          <cell r="H28" t="str">
            <v>Yes</v>
          </cell>
          <cell r="I28">
            <v>0.13</v>
          </cell>
          <cell r="J28" t="str">
            <v>N/A</v>
          </cell>
          <cell r="K28">
            <v>0</v>
          </cell>
          <cell r="P28"/>
          <cell r="Q28"/>
          <cell r="R28"/>
          <cell r="S28"/>
          <cell r="T28"/>
          <cell r="U28"/>
          <cell r="V28"/>
          <cell r="W28"/>
          <cell r="X28"/>
          <cell r="Y28"/>
          <cell r="Z28"/>
          <cell r="AA28"/>
          <cell r="AB28" t="str">
            <v>No</v>
          </cell>
          <cell r="AC28">
            <v>0</v>
          </cell>
          <cell r="AD28">
            <v>0</v>
          </cell>
          <cell r="AE28">
            <v>0</v>
          </cell>
          <cell r="AF28"/>
          <cell r="AG28"/>
          <cell r="AH28"/>
          <cell r="AI28"/>
          <cell r="AJ28"/>
          <cell r="AK28"/>
          <cell r="AL28"/>
          <cell r="AM28"/>
          <cell r="AN28"/>
          <cell r="AO28"/>
          <cell r="AP28"/>
          <cell r="AQ28"/>
          <cell r="AR28"/>
          <cell r="AS28" t="str">
            <v>No</v>
          </cell>
          <cell r="AT28">
            <v>0</v>
          </cell>
          <cell r="AU28">
            <v>0</v>
          </cell>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t="str">
            <v>Yes</v>
          </cell>
          <cell r="BX28">
            <v>0.13</v>
          </cell>
          <cell r="BY28">
            <v>0</v>
          </cell>
          <cell r="BZ28">
            <v>0</v>
          </cell>
          <cell r="CA28">
            <v>0</v>
          </cell>
          <cell r="CB28">
            <v>0</v>
          </cell>
          <cell r="CC28">
            <v>0</v>
          </cell>
          <cell r="CD28">
            <v>0</v>
          </cell>
          <cell r="CE28">
            <v>216000</v>
          </cell>
          <cell r="CF28">
            <v>108</v>
          </cell>
          <cell r="CG28">
            <v>0</v>
          </cell>
          <cell r="CH28">
            <v>0</v>
          </cell>
          <cell r="CI28" t="str">
            <v>N/A</v>
          </cell>
          <cell r="CJ28"/>
          <cell r="CK28"/>
          <cell r="CL28"/>
          <cell r="CM28"/>
          <cell r="CN28"/>
          <cell r="CO28"/>
          <cell r="CP28"/>
          <cell r="CQ28"/>
          <cell r="CR28"/>
          <cell r="CS28"/>
          <cell r="CT28"/>
          <cell r="CU28"/>
          <cell r="CV28"/>
          <cell r="CW28" t="str">
            <v>Yes</v>
          </cell>
          <cell r="CX28">
            <v>0.13</v>
          </cell>
          <cell r="CY28">
            <v>0</v>
          </cell>
          <cell r="CZ28">
            <v>0</v>
          </cell>
          <cell r="DA28">
            <v>0</v>
          </cell>
          <cell r="DB28">
            <v>0</v>
          </cell>
          <cell r="DC28">
            <v>0</v>
          </cell>
          <cell r="DD28">
            <v>0</v>
          </cell>
          <cell r="DE28">
            <v>216000</v>
          </cell>
          <cell r="DF28">
            <v>108</v>
          </cell>
          <cell r="DG28">
            <v>0</v>
          </cell>
          <cell r="DH28">
            <v>0</v>
          </cell>
          <cell r="DI28" t="str">
            <v>N/A</v>
          </cell>
          <cell r="DJ28"/>
          <cell r="DK28"/>
          <cell r="DL28"/>
          <cell r="DM28"/>
          <cell r="DN28"/>
          <cell r="DO28"/>
          <cell r="DP28"/>
          <cell r="DQ28"/>
          <cell r="DR28"/>
          <cell r="DS28"/>
          <cell r="DT28"/>
          <cell r="DU28"/>
          <cell r="DV28"/>
          <cell r="DW28"/>
          <cell r="DX28"/>
          <cell r="DY28"/>
          <cell r="DZ28">
            <v>763436.95</v>
          </cell>
          <cell r="EA28">
            <v>42453.75</v>
          </cell>
          <cell r="EB28">
            <v>182500</v>
          </cell>
          <cell r="EC28">
            <v>7572.05</v>
          </cell>
          <cell r="ED28">
            <v>0</v>
          </cell>
          <cell r="EE28">
            <v>0</v>
          </cell>
          <cell r="EF28">
            <v>0</v>
          </cell>
          <cell r="EG28" t="str">
            <v>N/A</v>
          </cell>
          <cell r="EH28" t="str">
            <v>N/A</v>
          </cell>
          <cell r="EI28">
            <v>0</v>
          </cell>
          <cell r="EJ28">
            <v>0</v>
          </cell>
          <cell r="EK28">
            <v>0</v>
          </cell>
          <cell r="EL28">
            <v>0</v>
          </cell>
          <cell r="EM28"/>
          <cell r="EN28"/>
          <cell r="EO28" t="str">
            <v>N/A</v>
          </cell>
          <cell r="EP28"/>
          <cell r="EQ28"/>
          <cell r="ER28"/>
          <cell r="ES28"/>
          <cell r="ET28" t="str">
            <v>N/A</v>
          </cell>
          <cell r="EU28"/>
          <cell r="EV28"/>
          <cell r="EW28"/>
          <cell r="EX28"/>
          <cell r="EY28"/>
          <cell r="EZ28"/>
          <cell r="FA28"/>
          <cell r="FB28"/>
          <cell r="FC28"/>
          <cell r="FD28" t="str">
            <v>web-form@smartsheet.com</v>
          </cell>
          <cell r="FE28">
            <v>45702.501611134256</v>
          </cell>
          <cell r="FF28" t="str">
            <v>web-form@smartsheet.com</v>
          </cell>
          <cell r="FG28">
            <v>45702.501611134256</v>
          </cell>
        </row>
        <row r="29">
          <cell r="B29" t="str">
            <v>PHOENIX SERVICES CORPORATION</v>
          </cell>
          <cell r="C29">
            <v>870496384004</v>
          </cell>
          <cell r="D29" t="str">
            <v>Josie Drake</v>
          </cell>
          <cell r="E29" t="str">
            <v>josied@phoenixservices.org</v>
          </cell>
          <cell r="F29" t="str">
            <v>+1 (801) 915-9028</v>
          </cell>
          <cell r="G29" t="str">
            <v>H0038	Personal Budget Assistance; per 15 minutes
Other services or operations not listed above
S5125	Attendant Care Services or Personal attendant service, participant employed; per 15 minutes</v>
          </cell>
          <cell r="I29"/>
          <cell r="L29" t="str">
            <v>Yes</v>
          </cell>
          <cell r="M29">
            <v>0.56000000000000005</v>
          </cell>
          <cell r="N29">
            <v>970</v>
          </cell>
          <cell r="P29"/>
          <cell r="Q29"/>
          <cell r="R29"/>
          <cell r="S29"/>
          <cell r="T29"/>
          <cell r="U29"/>
          <cell r="V29"/>
          <cell r="W29"/>
          <cell r="X29"/>
          <cell r="Y29"/>
          <cell r="Z29"/>
          <cell r="AA29"/>
          <cell r="AB29"/>
          <cell r="AC29"/>
          <cell r="AD29"/>
          <cell r="AE29"/>
          <cell r="AF29"/>
          <cell r="AG29"/>
          <cell r="AH29"/>
          <cell r="AI29"/>
          <cell r="AJ29" t="str">
            <v>Yes</v>
          </cell>
          <cell r="AK29">
            <v>0.01</v>
          </cell>
          <cell r="AL29">
            <v>1979</v>
          </cell>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cell r="CW29"/>
          <cell r="CX29"/>
          <cell r="CY29"/>
          <cell r="CZ29"/>
          <cell r="DA29"/>
          <cell r="DB29"/>
          <cell r="DC29"/>
          <cell r="DD29"/>
          <cell r="DE29"/>
          <cell r="DF29"/>
          <cell r="DG29"/>
          <cell r="DH29"/>
          <cell r="DI29"/>
          <cell r="DJ29"/>
          <cell r="DK29"/>
          <cell r="DL29"/>
          <cell r="DM29"/>
          <cell r="DN29"/>
          <cell r="DO29"/>
          <cell r="DP29"/>
          <cell r="DQ29"/>
          <cell r="DR29"/>
          <cell r="DS29"/>
          <cell r="DT29"/>
          <cell r="DU29"/>
          <cell r="DV29"/>
          <cell r="DW29"/>
          <cell r="DX29"/>
          <cell r="DY29"/>
          <cell r="DZ29">
            <v>323175.37</v>
          </cell>
          <cell r="EA29"/>
          <cell r="EB29"/>
          <cell r="EC29"/>
          <cell r="ED29"/>
          <cell r="EE29">
            <v>162</v>
          </cell>
          <cell r="EF29">
            <v>5740.34</v>
          </cell>
          <cell r="EG29" t="str">
            <v>Education</v>
          </cell>
          <cell r="EH29" t="str">
            <v>We don't separate hours so I didn't include hours for DSP. We also don't separate management from other staff. They all work with individuals.</v>
          </cell>
          <cell r="EI29">
            <v>536289.6</v>
          </cell>
          <cell r="EJ29">
            <v>380513.49</v>
          </cell>
          <cell r="EK29">
            <v>18154.669999999998</v>
          </cell>
          <cell r="EL29">
            <v>148533.42000000001</v>
          </cell>
          <cell r="EM29"/>
          <cell r="EN29"/>
          <cell r="EO29"/>
          <cell r="EP29"/>
          <cell r="EQ29"/>
          <cell r="ER29"/>
          <cell r="ES29"/>
          <cell r="ET29"/>
          <cell r="EU29"/>
          <cell r="EV29"/>
          <cell r="EW29"/>
          <cell r="EX29"/>
          <cell r="EY29"/>
          <cell r="EZ29"/>
          <cell r="FA29"/>
          <cell r="FB29"/>
          <cell r="FC29"/>
          <cell r="FD29" t="str">
            <v>web-form@smartsheet.com</v>
          </cell>
          <cell r="FE29">
            <v>45706.313061168985</v>
          </cell>
          <cell r="FF29" t="str">
            <v>web-form@smartsheet.com</v>
          </cell>
          <cell r="FG29">
            <v>45706.313061168985</v>
          </cell>
        </row>
        <row r="30">
          <cell r="B30" t="str">
            <v>TRANSITIONS</v>
          </cell>
          <cell r="C30">
            <v>1760696264</v>
          </cell>
          <cell r="D30" t="str">
            <v>Janis Dyer</v>
          </cell>
          <cell r="E30" t="str">
            <v>transitionsnew@gmail.com</v>
          </cell>
          <cell r="F30" t="str">
            <v>+1 (435) 459-9897</v>
          </cell>
          <cell r="G30" t="str">
            <v>H0038	Personal Budget Assistance; per 15 minutes
T2016	Adult Residential Services – (Licensed Assisted Living Facility, Memory Care Unit); per diem</v>
          </cell>
          <cell r="I30"/>
          <cell r="L30" t="str">
            <v>Yes</v>
          </cell>
          <cell r="M30">
            <v>1</v>
          </cell>
          <cell r="N30">
            <v>72</v>
          </cell>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t="str">
            <v>Yes</v>
          </cell>
          <cell r="BX30">
            <v>1</v>
          </cell>
          <cell r="BY30">
            <v>0</v>
          </cell>
          <cell r="BZ30">
            <v>5815.44</v>
          </cell>
          <cell r="CA30">
            <v>905</v>
          </cell>
          <cell r="CB30">
            <v>1800</v>
          </cell>
          <cell r="CC30">
            <v>5471.34</v>
          </cell>
          <cell r="CD30">
            <v>16400</v>
          </cell>
          <cell r="CE30">
            <v>6061.65</v>
          </cell>
          <cell r="CF30">
            <v>30</v>
          </cell>
          <cell r="CG30">
            <v>1068</v>
          </cell>
          <cell r="CH30">
            <v>1068</v>
          </cell>
          <cell r="CI30"/>
          <cell r="CJ30"/>
          <cell r="CK30"/>
          <cell r="CL30"/>
          <cell r="CM30"/>
          <cell r="CN30"/>
          <cell r="CO30"/>
          <cell r="CP30"/>
          <cell r="CQ30"/>
          <cell r="CR30"/>
          <cell r="CS30"/>
          <cell r="CT30"/>
          <cell r="CU30"/>
          <cell r="CV30"/>
          <cell r="CW30"/>
          <cell r="CX30"/>
          <cell r="CY30"/>
          <cell r="CZ30"/>
          <cell r="DA30"/>
          <cell r="DB30"/>
          <cell r="DC30"/>
          <cell r="DD30"/>
          <cell r="DE30"/>
          <cell r="DF30"/>
          <cell r="DG30"/>
          <cell r="DH30"/>
          <cell r="DI30"/>
          <cell r="DJ30"/>
          <cell r="DK30"/>
          <cell r="DL30"/>
          <cell r="DM30"/>
          <cell r="DN30"/>
          <cell r="DO30"/>
          <cell r="DP30"/>
          <cell r="DQ30"/>
          <cell r="DR30"/>
          <cell r="DS30"/>
          <cell r="DT30"/>
          <cell r="DU30"/>
          <cell r="DV30"/>
          <cell r="DW30"/>
          <cell r="DX30"/>
          <cell r="DY30"/>
          <cell r="DZ30">
            <v>167172.29</v>
          </cell>
          <cell r="EA30">
            <v>8859.5</v>
          </cell>
          <cell r="EB30">
            <v>30300</v>
          </cell>
          <cell r="EC30">
            <v>2080</v>
          </cell>
          <cell r="ED30">
            <v>0</v>
          </cell>
          <cell r="EE30">
            <v>0</v>
          </cell>
          <cell r="EF30">
            <v>0</v>
          </cell>
          <cell r="EG30"/>
          <cell r="EH30" t="str">
            <v>Transitions Inc. does provide H0045 and S5150 services, but these are so minimal that they were not included in this survey.</v>
          </cell>
          <cell r="EI30">
            <v>745325.51</v>
          </cell>
          <cell r="EJ30">
            <v>475498.28</v>
          </cell>
          <cell r="EK30">
            <v>42965.79</v>
          </cell>
          <cell r="EL30">
            <v>146694.84</v>
          </cell>
          <cell r="EM30"/>
          <cell r="EN30"/>
          <cell r="EO30"/>
          <cell r="EP30"/>
          <cell r="EQ30"/>
          <cell r="ER30"/>
          <cell r="ES30"/>
          <cell r="ET30"/>
          <cell r="EU30"/>
          <cell r="EV30"/>
          <cell r="EW30"/>
          <cell r="EX30"/>
          <cell r="EY30"/>
          <cell r="EZ30"/>
          <cell r="FA30"/>
          <cell r="FB30"/>
          <cell r="FC30"/>
          <cell r="FD30" t="str">
            <v>web-form@smartsheet.com</v>
          </cell>
          <cell r="FE30">
            <v>45706.516003252313</v>
          </cell>
          <cell r="FF30" t="str">
            <v>web-form@smartsheet.com</v>
          </cell>
          <cell r="FG30">
            <v>45706.516003252313</v>
          </cell>
        </row>
        <row r="31">
          <cell r="B31" t="str">
            <v>ROCKY MOUNTAIN CARE - LANDMARK ASSISTED LIVING</v>
          </cell>
          <cell r="C31">
            <v>1992319073</v>
          </cell>
          <cell r="D31" t="str">
            <v>Thiennga Nielson</v>
          </cell>
          <cell r="E31" t="str">
            <v>thiennga.nielson@rmcare.com</v>
          </cell>
          <cell r="F31" t="str">
            <v>+1 (801) 660-4007</v>
          </cell>
          <cell r="G31" t="str">
            <v>T2031	Adult Residential Services (Assisted Living Facilities Level I, Level II, &amp; Type N Facilities); per diem</v>
          </cell>
          <cell r="I31"/>
          <cell r="M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t="str">
            <v>Yes</v>
          </cell>
          <cell r="CX31">
            <v>0.11</v>
          </cell>
          <cell r="CY31">
            <v>184000</v>
          </cell>
          <cell r="CZ31"/>
          <cell r="DA31">
            <v>9900</v>
          </cell>
          <cell r="DB31">
            <v>6231</v>
          </cell>
          <cell r="DC31">
            <v>63373</v>
          </cell>
          <cell r="DD31">
            <v>12084</v>
          </cell>
          <cell r="DE31">
            <v>98305</v>
          </cell>
          <cell r="DF31">
            <v>42</v>
          </cell>
          <cell r="DG31">
            <v>9994</v>
          </cell>
          <cell r="DH31">
            <v>1577</v>
          </cell>
          <cell r="DI31"/>
          <cell r="DJ31"/>
          <cell r="DK31"/>
          <cell r="DL31"/>
          <cell r="DM31"/>
          <cell r="DN31"/>
          <cell r="DO31"/>
          <cell r="DP31"/>
          <cell r="DQ31"/>
          <cell r="DR31"/>
          <cell r="DS31"/>
          <cell r="DT31"/>
          <cell r="DU31"/>
          <cell r="DV31"/>
          <cell r="DW31"/>
          <cell r="DX31"/>
          <cell r="DY31"/>
          <cell r="DZ31">
            <v>495917</v>
          </cell>
          <cell r="EA31">
            <v>26588</v>
          </cell>
          <cell r="EB31">
            <v>110683</v>
          </cell>
          <cell r="EC31">
            <v>2956</v>
          </cell>
          <cell r="ED31">
            <v>0</v>
          </cell>
          <cell r="EE31">
            <v>924</v>
          </cell>
          <cell r="EF31">
            <v>66036</v>
          </cell>
          <cell r="EG31" t="str">
            <v>ORIENTATION &amp; EDUCATION	32.76
EMPLOYEE BENEFITS	468.42
PAYROLL TAXES	27,482.58
VAC., HOL., SICK	20,668.63
GROUP HEALTH INSURANCE	6,819.56
WORKERS COMPENSATION	5,401.01
NURSING SUPPLIES	3,716.50
MINOR EQUIPMENT	988.97
TELEPHONE	420.00
UNIFORMS	37.61</v>
          </cell>
          <cell r="EH31"/>
          <cell r="EI31">
            <v>1109956</v>
          </cell>
          <cell r="EJ31">
            <v>593846</v>
          </cell>
          <cell r="EK31">
            <v>69975</v>
          </cell>
          <cell r="EL31">
            <v>285526</v>
          </cell>
          <cell r="EM31"/>
          <cell r="EN31"/>
          <cell r="EO31"/>
          <cell r="EP31"/>
          <cell r="EQ31"/>
          <cell r="ER31"/>
          <cell r="ES31"/>
          <cell r="ET31"/>
          <cell r="EU31"/>
          <cell r="EV31"/>
          <cell r="EW31"/>
          <cell r="EX31"/>
          <cell r="EY31"/>
          <cell r="EZ31"/>
          <cell r="FA31"/>
          <cell r="FB31"/>
          <cell r="FC31"/>
          <cell r="FD31" t="str">
            <v>web-form@smartsheet.com</v>
          </cell>
          <cell r="FE31">
            <v>45706.58827857639</v>
          </cell>
          <cell r="FF31" t="str">
            <v>web-form@smartsheet.com</v>
          </cell>
          <cell r="FG31">
            <v>45706.58827857639</v>
          </cell>
        </row>
        <row r="32">
          <cell r="B32" t="str">
            <v>Rocky Mountain Care - Haven Creek Manager LLC</v>
          </cell>
          <cell r="C32">
            <v>1063276400</v>
          </cell>
          <cell r="D32" t="str">
            <v>Thiennga Nielson</v>
          </cell>
          <cell r="E32" t="str">
            <v>thiennga.nielson@rmcare.com</v>
          </cell>
          <cell r="F32" t="str">
            <v>+1 (801) 660-4007</v>
          </cell>
          <cell r="G32" t="str">
            <v>T2031	Adult Residential Services (Assisted Living Facilities Level I, Level II, &amp; Type N Facilities); per diem</v>
          </cell>
          <cell r="I32"/>
          <cell r="M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t="str">
            <v>Yes</v>
          </cell>
          <cell r="CX32">
            <v>0.31</v>
          </cell>
          <cell r="CY32">
            <v>7612</v>
          </cell>
          <cell r="CZ32">
            <v>118</v>
          </cell>
          <cell r="DA32">
            <v>48310</v>
          </cell>
          <cell r="DB32">
            <v>58807</v>
          </cell>
          <cell r="DC32">
            <v>87174</v>
          </cell>
          <cell r="DD32">
            <v>26667</v>
          </cell>
          <cell r="DE32">
            <v>166950</v>
          </cell>
          <cell r="DF32">
            <v>64</v>
          </cell>
          <cell r="DG32">
            <v>18841</v>
          </cell>
          <cell r="DH32">
            <v>8322</v>
          </cell>
          <cell r="DI32"/>
          <cell r="DJ32"/>
          <cell r="DK32"/>
          <cell r="DL32"/>
          <cell r="DM32"/>
          <cell r="DN32"/>
          <cell r="DO32"/>
          <cell r="DP32"/>
          <cell r="DQ32"/>
          <cell r="DR32"/>
          <cell r="DS32"/>
          <cell r="DT32"/>
          <cell r="DU32"/>
          <cell r="DV32"/>
          <cell r="DW32"/>
          <cell r="DX32"/>
          <cell r="DY32"/>
          <cell r="DZ32">
            <v>471957</v>
          </cell>
          <cell r="EA32">
            <v>27830</v>
          </cell>
          <cell r="EB32">
            <v>2598</v>
          </cell>
          <cell r="EC32">
            <v>68</v>
          </cell>
          <cell r="ED32">
            <v>213827</v>
          </cell>
          <cell r="EE32">
            <v>0</v>
          </cell>
          <cell r="EF32">
            <v>73864</v>
          </cell>
          <cell r="EG32" t="str">
            <v>ORIENTATION &amp; EDUCATION	25.05
EMPLOYEE BENEFITS	2,745.67
PAYROLL TAXES	44,749.04
WORKERS COMPENSATION	5,536.12
NURSING SUPPLIES	3,216.18
EMPLOYEE RECRUITMENT	16,996.00
SEMINARS &amp; EDUCATION	595.86</v>
          </cell>
          <cell r="EH32"/>
          <cell r="EI32">
            <v>2552064</v>
          </cell>
          <cell r="EJ32">
            <v>939840</v>
          </cell>
          <cell r="EK32">
            <v>92972</v>
          </cell>
          <cell r="EL32">
            <v>554697</v>
          </cell>
          <cell r="EM32"/>
          <cell r="EN32"/>
          <cell r="EO32"/>
          <cell r="EP32"/>
          <cell r="EQ32"/>
          <cell r="ER32"/>
          <cell r="ES32"/>
          <cell r="ET32"/>
          <cell r="EU32"/>
          <cell r="EV32"/>
          <cell r="EW32"/>
          <cell r="EX32"/>
          <cell r="EY32"/>
          <cell r="EZ32"/>
          <cell r="FA32"/>
          <cell r="FB32"/>
          <cell r="FC32"/>
          <cell r="FD32" t="str">
            <v>web-form@smartsheet.com</v>
          </cell>
          <cell r="FE32">
            <v>45706.658656064814</v>
          </cell>
          <cell r="FF32" t="str">
            <v>web-form@smartsheet.com</v>
          </cell>
          <cell r="FG32">
            <v>45706.658656064814</v>
          </cell>
        </row>
        <row r="33">
          <cell r="B33" t="str">
            <v>ROCKY MOUNTAIN CARE - RIVER POINTE ASSISTED LIVING</v>
          </cell>
          <cell r="C33">
            <v>4149106</v>
          </cell>
          <cell r="D33" t="str">
            <v>Thiennga Nielson</v>
          </cell>
          <cell r="E33" t="str">
            <v>thiennga.nielson@rmcare.com</v>
          </cell>
          <cell r="F33" t="str">
            <v>+1 (801) 660-4007</v>
          </cell>
          <cell r="G33" t="str">
            <v>T2031	Adult Residential Services (Assisted Living Facilities Level I, Level II, &amp; Type N Facilities); per diem</v>
          </cell>
          <cell r="I33"/>
          <cell r="M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cell r="BG33"/>
          <cell r="BH33"/>
          <cell r="BI33"/>
          <cell r="BJ33"/>
          <cell r="BK33"/>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t="str">
            <v>Yes</v>
          </cell>
          <cell r="CX33">
            <v>0.54</v>
          </cell>
          <cell r="CY33">
            <v>516000</v>
          </cell>
          <cell r="CZ33">
            <v>0</v>
          </cell>
          <cell r="DA33">
            <v>48840</v>
          </cell>
          <cell r="DB33">
            <v>13002</v>
          </cell>
          <cell r="DC33">
            <v>96305</v>
          </cell>
          <cell r="DD33">
            <v>16371</v>
          </cell>
          <cell r="DE33">
            <v>117330</v>
          </cell>
          <cell r="DF33">
            <v>62</v>
          </cell>
          <cell r="DG33">
            <v>18897</v>
          </cell>
          <cell r="DH33">
            <v>13236</v>
          </cell>
          <cell r="DI33"/>
          <cell r="DJ33"/>
          <cell r="DK33"/>
          <cell r="DL33"/>
          <cell r="DM33"/>
          <cell r="DN33"/>
          <cell r="DO33"/>
          <cell r="DP33"/>
          <cell r="DQ33"/>
          <cell r="DR33"/>
          <cell r="DS33"/>
          <cell r="DT33"/>
          <cell r="DU33"/>
          <cell r="DV33"/>
          <cell r="DW33"/>
          <cell r="DX33"/>
          <cell r="DY33"/>
          <cell r="DZ33">
            <v>564497</v>
          </cell>
          <cell r="EA33">
            <v>28835</v>
          </cell>
          <cell r="EB33">
            <v>105234</v>
          </cell>
          <cell r="EC33">
            <v>2373</v>
          </cell>
          <cell r="ED33">
            <v>9163</v>
          </cell>
          <cell r="EE33">
            <v>0</v>
          </cell>
          <cell r="EF33">
            <v>72291</v>
          </cell>
          <cell r="EG33" t="str">
            <v>ORIENTATION &amp; EDUCATION	808.94
EMPLOYEE BENEFITS	587.43
PAYROLL TAXES	38,148.26
GROUP HEALTH INSURANCE	12,101.37
WORKERS COMPENSATION	5,267.69
NURSING SUPPLIES	1,622.54
MINOR EQUIPMENT	247.63
CONTRACT LABOR - R.N.	367.80
CONTRACT LABOR - C.N.A.	8,794.88
EMPLOYEE RECRUITMENT	1,081.00
SEMINARS &amp; EDUCATION	3,263.35</v>
          </cell>
          <cell r="EH33"/>
          <cell r="EI33">
            <v>2063367</v>
          </cell>
          <cell r="EJ33">
            <v>740999</v>
          </cell>
          <cell r="EK33">
            <v>109799</v>
          </cell>
          <cell r="EL33">
            <v>376421</v>
          </cell>
          <cell r="EM33"/>
          <cell r="EN33"/>
          <cell r="EO33"/>
          <cell r="EP33"/>
          <cell r="EQ33"/>
          <cell r="ER33"/>
          <cell r="ES33"/>
          <cell r="ET33"/>
          <cell r="EU33"/>
          <cell r="EV33"/>
          <cell r="EW33"/>
          <cell r="EX33"/>
          <cell r="EY33"/>
          <cell r="EZ33"/>
          <cell r="FA33"/>
          <cell r="FB33"/>
          <cell r="FC33"/>
          <cell r="FD33" t="str">
            <v>web-form@smartsheet.com</v>
          </cell>
          <cell r="FE33">
            <v>45706.681603425925</v>
          </cell>
          <cell r="FF33" t="str">
            <v>web-form@smartsheet.com</v>
          </cell>
          <cell r="FG33">
            <v>45706.681603425925</v>
          </cell>
        </row>
        <row r="34">
          <cell r="B34" t="str">
            <v>SARAH DAFT HOME</v>
          </cell>
          <cell r="C34">
            <v>1720291131</v>
          </cell>
          <cell r="D34" t="str">
            <v>Thiennga Nielson</v>
          </cell>
          <cell r="E34" t="str">
            <v>thiennga.nielson@rmcare.com</v>
          </cell>
          <cell r="F34" t="str">
            <v>+1 (801) 660-4007</v>
          </cell>
          <cell r="G34" t="str">
            <v>T2031	Adult Residential Services (Assisted Living Facilities Level I, Level II, &amp; Type N Facilities); per diem</v>
          </cell>
          <cell r="I34"/>
          <cell r="M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cell r="BG34"/>
          <cell r="BH34"/>
          <cell r="BI34"/>
          <cell r="BJ34"/>
          <cell r="BK34"/>
          <cell r="BL34"/>
          <cell r="BM34"/>
          <cell r="BN34"/>
          <cell r="BO34"/>
          <cell r="BP34"/>
          <cell r="BQ34"/>
          <cell r="BR34"/>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cell r="CV34"/>
          <cell r="CW34" t="str">
            <v>Yes</v>
          </cell>
          <cell r="CX34">
            <v>0.28999999999999998</v>
          </cell>
          <cell r="CY34">
            <v>0</v>
          </cell>
          <cell r="CZ34">
            <v>0</v>
          </cell>
          <cell r="DA34">
            <v>0</v>
          </cell>
          <cell r="DB34">
            <v>10041</v>
          </cell>
          <cell r="DC34">
            <v>126391</v>
          </cell>
          <cell r="DD34">
            <v>10887</v>
          </cell>
          <cell r="DE34">
            <v>102943</v>
          </cell>
          <cell r="DF34">
            <v>39</v>
          </cell>
          <cell r="DG34">
            <v>13920</v>
          </cell>
          <cell r="DH34">
            <v>5394</v>
          </cell>
          <cell r="DI34"/>
          <cell r="DJ34"/>
          <cell r="DK34"/>
          <cell r="DL34"/>
          <cell r="DM34"/>
          <cell r="DN34"/>
          <cell r="DO34"/>
          <cell r="DP34"/>
          <cell r="DQ34"/>
          <cell r="DR34"/>
          <cell r="DS34"/>
          <cell r="DT34"/>
          <cell r="DU34"/>
          <cell r="DV34"/>
          <cell r="DW34"/>
          <cell r="DX34"/>
          <cell r="DY34"/>
          <cell r="DZ34">
            <v>490103</v>
          </cell>
          <cell r="EA34">
            <v>21960</v>
          </cell>
          <cell r="EB34">
            <v>368091</v>
          </cell>
          <cell r="EC34">
            <v>19076</v>
          </cell>
          <cell r="ED34">
            <v>23162</v>
          </cell>
          <cell r="EE34">
            <v>0</v>
          </cell>
          <cell r="EF34">
            <v>92289</v>
          </cell>
          <cell r="EG34" t="str">
            <v>EMPLOYEE BENEFITS	292.08
PAYROLL TAXES	23,456.02
GROUP HEALTH INSURANCE	32,701.91
WORKERS COMPENSATION	3,204.11
NURSING SUPPLIES	5,165.30
MINOR EQUIPMENT	247.63
PURCHASED SERVICES	1,365.00
CONTRACT LABOR - C.N.A.	23,162.17
REPAIRS &amp; MAINTENANCE	2,015.00
LICENSES	397.00
EMPLOYEE RECRUITMENT	(717.00)
SEMINARS &amp; EDUCATION	1,000.00</v>
          </cell>
          <cell r="EH34"/>
          <cell r="EI34">
            <v>1577906</v>
          </cell>
          <cell r="EJ34">
            <v>776772</v>
          </cell>
          <cell r="EK34">
            <v>117159</v>
          </cell>
          <cell r="EL34">
            <v>399775</v>
          </cell>
          <cell r="EM34"/>
          <cell r="EN34"/>
          <cell r="EO34"/>
          <cell r="EP34"/>
          <cell r="EQ34"/>
          <cell r="ER34"/>
          <cell r="ES34"/>
          <cell r="ET34"/>
          <cell r="EU34"/>
          <cell r="EV34"/>
          <cell r="EW34"/>
          <cell r="EX34"/>
          <cell r="EY34"/>
          <cell r="EZ34"/>
          <cell r="FA34"/>
          <cell r="FB34"/>
          <cell r="FC34"/>
          <cell r="FD34" t="str">
            <v>web-form@smartsheet.com</v>
          </cell>
          <cell r="FE34">
            <v>45706.698489768518</v>
          </cell>
          <cell r="FF34" t="str">
            <v>web-form@smartsheet.com</v>
          </cell>
          <cell r="FG34">
            <v>45706.698489768518</v>
          </cell>
        </row>
        <row r="35">
          <cell r="B35" t="str">
            <v>ROCKY MOUNTAIN CARE - SPRING HOLLOW ASSISTED LIVING AND MEMORY CARE</v>
          </cell>
          <cell r="C35">
            <v>1053808055</v>
          </cell>
          <cell r="D35" t="str">
            <v>Thiennga Nielson</v>
          </cell>
          <cell r="E35" t="str">
            <v>thiennga.nielson@rmcare.com</v>
          </cell>
          <cell r="F35" t="str">
            <v>+1 (801) 660-4007</v>
          </cell>
          <cell r="G35" t="str">
            <v>T2016	Adult Residential Services – (Licensed Assisted Living Facility, Memory Care Unit); per diem
T2031	Adult Residential Services (Assisted Living Facilities Level I, Level II, &amp; Type N Facilities); per diem</v>
          </cell>
          <cell r="I35"/>
          <cell r="M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cell r="BG35"/>
          <cell r="BH35"/>
          <cell r="BI35"/>
          <cell r="BJ35"/>
          <cell r="BK35"/>
          <cell r="BL35"/>
          <cell r="BM35"/>
          <cell r="BN35"/>
          <cell r="BO35"/>
          <cell r="BP35"/>
          <cell r="BQ35"/>
          <cell r="BR35"/>
          <cell r="BS35"/>
          <cell r="BT35"/>
          <cell r="BU35"/>
          <cell r="BV35"/>
          <cell r="BW35" t="str">
            <v>Yes</v>
          </cell>
          <cell r="BX35">
            <v>0.42</v>
          </cell>
          <cell r="BY35">
            <v>61989</v>
          </cell>
          <cell r="BZ35">
            <v>0</v>
          </cell>
          <cell r="CA35">
            <v>0</v>
          </cell>
          <cell r="CB35">
            <v>0</v>
          </cell>
          <cell r="CC35">
            <v>23264</v>
          </cell>
          <cell r="CD35">
            <v>2274</v>
          </cell>
          <cell r="CE35">
            <v>26117</v>
          </cell>
          <cell r="CF35">
            <v>16</v>
          </cell>
          <cell r="CG35">
            <v>4752</v>
          </cell>
          <cell r="CH35">
            <v>2410</v>
          </cell>
          <cell r="CI35"/>
          <cell r="CJ35"/>
          <cell r="CK35"/>
          <cell r="CL35"/>
          <cell r="CM35"/>
          <cell r="CN35"/>
          <cell r="CO35"/>
          <cell r="CP35"/>
          <cell r="CQ35"/>
          <cell r="CR35"/>
          <cell r="CS35"/>
          <cell r="CT35"/>
          <cell r="CU35"/>
          <cell r="CV35"/>
          <cell r="CW35" t="str">
            <v>Yes</v>
          </cell>
          <cell r="CX35">
            <v>0.3</v>
          </cell>
          <cell r="CY35">
            <v>97191</v>
          </cell>
          <cell r="CZ35">
            <v>0</v>
          </cell>
          <cell r="DA35">
            <v>0</v>
          </cell>
          <cell r="DB35">
            <v>0</v>
          </cell>
          <cell r="DC35">
            <v>36387</v>
          </cell>
          <cell r="DD35">
            <v>3557</v>
          </cell>
          <cell r="DE35">
            <v>40850</v>
          </cell>
          <cell r="DF35">
            <v>32</v>
          </cell>
          <cell r="DG35">
            <v>6108</v>
          </cell>
          <cell r="DH35">
            <v>3020</v>
          </cell>
          <cell r="DI35"/>
          <cell r="DJ35"/>
          <cell r="DK35"/>
          <cell r="DL35"/>
          <cell r="DM35"/>
          <cell r="DN35"/>
          <cell r="DO35"/>
          <cell r="DP35"/>
          <cell r="DQ35"/>
          <cell r="DR35"/>
          <cell r="DS35"/>
          <cell r="DT35"/>
          <cell r="DU35"/>
          <cell r="DV35"/>
          <cell r="DW35"/>
          <cell r="DX35"/>
          <cell r="DY35"/>
          <cell r="DZ35">
            <v>424522</v>
          </cell>
          <cell r="EA35">
            <v>23185</v>
          </cell>
          <cell r="EB35">
            <v>23383</v>
          </cell>
          <cell r="EC35">
            <v>753</v>
          </cell>
          <cell r="ED35">
            <v>1271</v>
          </cell>
          <cell r="EE35">
            <v>172</v>
          </cell>
          <cell r="EF35">
            <v>52950</v>
          </cell>
          <cell r="EG35" t="str">
            <v>ORIENTATION &amp; EDUCATION	1,426.69
EMPLOYEE BENEFITS	570.32
PAYROLL TAXES	35,157.70
GROUP HEALTH INSURANCE	1,472.32
WORKERS COMPENSATION	6,088.97
NURSING SUPPLIES	716.04
MINOR EQUIPMENT	495.24
CONTRACT LABOR - R.N.	150.00
CONTRACT LABOR - C.N.A.	1,120.71
TRAVEL	172.00
EMPLOYEE RECRUITMENT	5,517.50
SEMINARS &amp; EDUCATION	62.95</v>
          </cell>
          <cell r="EH35"/>
          <cell r="EI35">
            <v>1090107</v>
          </cell>
          <cell r="EJ35">
            <v>586491</v>
          </cell>
          <cell r="EK35">
            <v>64242</v>
          </cell>
          <cell r="EL35">
            <v>259282</v>
          </cell>
          <cell r="EM35"/>
          <cell r="EN35"/>
          <cell r="EO35"/>
          <cell r="EP35"/>
          <cell r="EQ35"/>
          <cell r="ER35"/>
          <cell r="ES35"/>
          <cell r="ET35"/>
          <cell r="EU35"/>
          <cell r="EV35"/>
          <cell r="EW35"/>
          <cell r="EX35"/>
          <cell r="EY35"/>
          <cell r="EZ35"/>
          <cell r="FA35"/>
          <cell r="FB35"/>
          <cell r="FC35"/>
          <cell r="FD35" t="str">
            <v>web-form@smartsheet.com</v>
          </cell>
          <cell r="FE35">
            <v>45706.78614034722</v>
          </cell>
          <cell r="FF35" t="str">
            <v>web-form@smartsheet.com</v>
          </cell>
          <cell r="FG35">
            <v>45706.78614034722</v>
          </cell>
        </row>
        <row r="36">
          <cell r="B36" t="str">
            <v>MONARCH SUPPORTS &amp; SERVICES</v>
          </cell>
          <cell r="C36">
            <v>5400329202</v>
          </cell>
          <cell r="D36" t="str">
            <v>Karen Zamudio</v>
          </cell>
          <cell r="E36" t="str">
            <v>kzamudio@monarchsupports.com</v>
          </cell>
          <cell r="F36" t="str">
            <v>+1 (801) 234-0342</v>
          </cell>
          <cell r="G36" t="str">
            <v>H0038	Personal Budget Assistance; per 15 minutes
H0043	Adult Residential Services – Certified Independent Living Facility; per diem
H0045	Respite Care – Overnight, Out of Home, Room &amp; Board included or Respite Care Services – LTC facility; per diem</v>
          </cell>
          <cell r="I36"/>
          <cell r="L36" t="str">
            <v>Yes</v>
          </cell>
          <cell r="M36">
            <v>1</v>
          </cell>
          <cell r="N36">
            <v>170</v>
          </cell>
          <cell r="P36" t="str">
            <v>Yes</v>
          </cell>
          <cell r="Q36">
            <v>1</v>
          </cell>
          <cell r="R36"/>
          <cell r="S36"/>
          <cell r="T36"/>
          <cell r="U36"/>
          <cell r="V36"/>
          <cell r="W36"/>
          <cell r="X36">
            <v>245</v>
          </cell>
          <cell r="Y36">
            <v>10</v>
          </cell>
          <cell r="Z36">
            <v>3369</v>
          </cell>
          <cell r="AA36">
            <v>3369</v>
          </cell>
          <cell r="AB36" t="str">
            <v>Yes</v>
          </cell>
          <cell r="AC36">
            <v>1</v>
          </cell>
          <cell r="AD36">
            <v>124</v>
          </cell>
          <cell r="AE36">
            <v>24</v>
          </cell>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cell r="BG36"/>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cell r="CV36"/>
          <cell r="CW36"/>
          <cell r="CX36"/>
          <cell r="CY36"/>
          <cell r="CZ36"/>
          <cell r="DA36"/>
          <cell r="DB36"/>
          <cell r="DC36"/>
          <cell r="DD36"/>
          <cell r="DE36"/>
          <cell r="DF36"/>
          <cell r="DG36"/>
          <cell r="DH36"/>
          <cell r="DI36"/>
          <cell r="DJ36"/>
          <cell r="DK36"/>
          <cell r="DL36"/>
          <cell r="DM36"/>
          <cell r="DN36"/>
          <cell r="DO36"/>
          <cell r="DP36"/>
          <cell r="DQ36"/>
          <cell r="DR36"/>
          <cell r="DS36"/>
          <cell r="DT36"/>
          <cell r="DU36"/>
          <cell r="DV36"/>
          <cell r="DW36"/>
          <cell r="DX36"/>
          <cell r="DY36"/>
          <cell r="DZ36"/>
          <cell r="EA36">
            <v>83832</v>
          </cell>
          <cell r="EB36"/>
          <cell r="EC36">
            <v>1040</v>
          </cell>
          <cell r="ED36">
            <v>652217</v>
          </cell>
          <cell r="EE36"/>
          <cell r="EF36">
            <v>700</v>
          </cell>
          <cell r="EG36"/>
          <cell r="EH36"/>
          <cell r="EI36">
            <v>656055</v>
          </cell>
          <cell r="EJ36"/>
          <cell r="EK36">
            <v>2304</v>
          </cell>
          <cell r="EL36">
            <v>63674</v>
          </cell>
          <cell r="EM36"/>
          <cell r="EN36"/>
          <cell r="EO36"/>
          <cell r="EP36"/>
          <cell r="EQ36"/>
          <cell r="ER36"/>
          <cell r="ES36"/>
          <cell r="ET36"/>
          <cell r="EU36"/>
          <cell r="EV36"/>
          <cell r="EW36"/>
          <cell r="EX36"/>
          <cell r="EY36"/>
          <cell r="EZ36"/>
          <cell r="FA36"/>
          <cell r="FB36"/>
          <cell r="FC36"/>
          <cell r="FD36" t="str">
            <v>web-form@smartsheet.com</v>
          </cell>
          <cell r="FE36">
            <v>45707.386453530089</v>
          </cell>
          <cell r="FF36" t="str">
            <v>sdyer@mslc.com</v>
          </cell>
          <cell r="FG36">
            <v>45726.350266203706</v>
          </cell>
        </row>
        <row r="37">
          <cell r="B37" t="str">
            <v>FOUNDATIONS FOR INDPENDENCE</v>
          </cell>
          <cell r="C37">
            <v>1013070028</v>
          </cell>
          <cell r="D37" t="str">
            <v>Shelly Petty</v>
          </cell>
          <cell r="E37" t="str">
            <v>shelly@ffiutah.org</v>
          </cell>
          <cell r="F37" t="str">
            <v>+1 (801) 231-3459</v>
          </cell>
          <cell r="G37" t="str">
            <v>H0038	Personal Budget Assistance; per 15 minutes
Other services or operations not listed above
T1016	Case management; per 15 minutes</v>
          </cell>
          <cell r="I37"/>
          <cell r="L37" t="str">
            <v>Yes</v>
          </cell>
          <cell r="M37">
            <v>0.95</v>
          </cell>
          <cell r="N37">
            <v>624</v>
          </cell>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t="str">
            <v>Yes</v>
          </cell>
          <cell r="BF37">
            <v>0.95</v>
          </cell>
          <cell r="BG37">
            <v>11291</v>
          </cell>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cell r="CV37"/>
          <cell r="CW37"/>
          <cell r="CX37"/>
          <cell r="CY37"/>
          <cell r="CZ37"/>
          <cell r="DA37"/>
          <cell r="DB37"/>
          <cell r="DC37"/>
          <cell r="DD37"/>
          <cell r="DE37"/>
          <cell r="DF37"/>
          <cell r="DG37"/>
          <cell r="DH37"/>
          <cell r="DI37"/>
          <cell r="DJ37"/>
          <cell r="DK37"/>
          <cell r="DL37"/>
          <cell r="DM37"/>
          <cell r="DN37"/>
          <cell r="DO37"/>
          <cell r="DP37"/>
          <cell r="DQ37"/>
          <cell r="DR37"/>
          <cell r="DS37"/>
          <cell r="DT37"/>
          <cell r="DU37"/>
          <cell r="DV37"/>
          <cell r="DW37"/>
          <cell r="DX37"/>
          <cell r="DY37"/>
          <cell r="DZ37">
            <v>1682897</v>
          </cell>
          <cell r="EA37">
            <v>77028</v>
          </cell>
          <cell r="EB37">
            <v>201626</v>
          </cell>
          <cell r="EC37">
            <v>6428</v>
          </cell>
          <cell r="ED37">
            <v>0</v>
          </cell>
          <cell r="EE37">
            <v>4531</v>
          </cell>
          <cell r="EF37">
            <v>43018</v>
          </cell>
          <cell r="EG37" t="str">
            <v>Liabililty insurance, communication, supplies,  deprec</v>
          </cell>
          <cell r="EH37"/>
          <cell r="EI37">
            <v>2994948</v>
          </cell>
          <cell r="EJ37">
            <v>2430396</v>
          </cell>
          <cell r="EK37">
            <v>396788</v>
          </cell>
          <cell r="EL37">
            <v>502797</v>
          </cell>
          <cell r="EM37">
            <v>264766</v>
          </cell>
          <cell r="EN37"/>
          <cell r="EO37"/>
          <cell r="EP37"/>
          <cell r="EQ37"/>
          <cell r="ER37"/>
          <cell r="ES37"/>
          <cell r="ET37"/>
          <cell r="EU37"/>
          <cell r="EV37"/>
          <cell r="EW37"/>
          <cell r="EX37"/>
          <cell r="EY37"/>
          <cell r="EZ37"/>
          <cell r="FA37"/>
          <cell r="FB37"/>
          <cell r="FC37"/>
          <cell r="FD37" t="str">
            <v>web-form@smartsheet.com</v>
          </cell>
          <cell r="FE37">
            <v>45707.645194398145</v>
          </cell>
          <cell r="FF37" t="str">
            <v>web-form@smartsheet.com</v>
          </cell>
          <cell r="FG37">
            <v>45707.645194398145</v>
          </cell>
        </row>
        <row r="38">
          <cell r="B38" t="str">
            <v>GARDENS ASSISTED LIVING</v>
          </cell>
          <cell r="C38">
            <v>1386705820</v>
          </cell>
          <cell r="D38" t="str">
            <v>Allison Parrish</v>
          </cell>
          <cell r="E38" t="str">
            <v>allison@cozyretire.com</v>
          </cell>
          <cell r="F38" t="str">
            <v>+1 (801) 394-1400</v>
          </cell>
          <cell r="G38" t="str">
            <v>T2031	Adult Residential Services (Assisted Living Facilities Level I, Level II, &amp; Type N Facilities); per diem</v>
          </cell>
          <cell r="I38"/>
          <cell r="M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cell r="BG38"/>
          <cell r="BH38"/>
          <cell r="BI38"/>
          <cell r="BJ38"/>
          <cell r="BK38"/>
          <cell r="BL38"/>
          <cell r="BM38"/>
          <cell r="BN38"/>
          <cell r="BO38"/>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cell r="CV38"/>
          <cell r="CW38" t="str">
            <v>Yes</v>
          </cell>
          <cell r="CX38">
            <v>0.54</v>
          </cell>
          <cell r="CY38">
            <v>38609</v>
          </cell>
          <cell r="CZ38">
            <v>0</v>
          </cell>
          <cell r="DA38">
            <v>30691</v>
          </cell>
          <cell r="DB38">
            <v>123343</v>
          </cell>
          <cell r="DC38">
            <v>89390</v>
          </cell>
          <cell r="DD38">
            <v>25031</v>
          </cell>
          <cell r="DE38">
            <v>164643</v>
          </cell>
          <cell r="DF38">
            <v>74</v>
          </cell>
          <cell r="DG38">
            <v>23310</v>
          </cell>
          <cell r="DH38">
            <v>12587</v>
          </cell>
          <cell r="DI38"/>
          <cell r="DJ38"/>
          <cell r="DK38"/>
          <cell r="DL38"/>
          <cell r="DM38"/>
          <cell r="DN38"/>
          <cell r="DO38"/>
          <cell r="DP38"/>
          <cell r="DQ38"/>
          <cell r="DR38"/>
          <cell r="DS38"/>
          <cell r="DT38"/>
          <cell r="DU38"/>
          <cell r="DV38"/>
          <cell r="DW38"/>
          <cell r="DX38"/>
          <cell r="DY38"/>
          <cell r="DZ38">
            <v>343323</v>
          </cell>
          <cell r="EA38">
            <v>19073</v>
          </cell>
          <cell r="EB38">
            <v>87795</v>
          </cell>
          <cell r="EC38">
            <v>2473</v>
          </cell>
          <cell r="ED38">
            <v>0</v>
          </cell>
          <cell r="EE38">
            <v>238</v>
          </cell>
          <cell r="EF38">
            <v>2217</v>
          </cell>
          <cell r="EG38" t="str">
            <v>Supplies</v>
          </cell>
          <cell r="EH38"/>
          <cell r="EI38">
            <v>1909598</v>
          </cell>
          <cell r="EJ38">
            <v>1065571</v>
          </cell>
          <cell r="EK38">
            <v>115078</v>
          </cell>
          <cell r="EL38">
            <v>876669</v>
          </cell>
          <cell r="EM38"/>
          <cell r="EN38"/>
          <cell r="EO38"/>
          <cell r="EP38"/>
          <cell r="EQ38"/>
          <cell r="ER38"/>
          <cell r="ES38"/>
          <cell r="ET38"/>
          <cell r="EU38"/>
          <cell r="EV38"/>
          <cell r="EW38"/>
          <cell r="EX38"/>
          <cell r="EY38"/>
          <cell r="EZ38"/>
          <cell r="FA38"/>
          <cell r="FB38"/>
          <cell r="FC38"/>
          <cell r="FD38" t="str">
            <v>web-form@smartsheet.com</v>
          </cell>
          <cell r="FE38">
            <v>45709.334194282404</v>
          </cell>
          <cell r="FF38" t="str">
            <v>web-form@smartsheet.com</v>
          </cell>
          <cell r="FG38">
            <v>45709.334194282404</v>
          </cell>
        </row>
        <row r="39">
          <cell r="B39" t="str">
            <v>APPLE VILLAGE ASSISTED LIVING</v>
          </cell>
          <cell r="C39">
            <v>1083775399</v>
          </cell>
          <cell r="D39" t="str">
            <v>Elayne Stoker</v>
          </cell>
          <cell r="E39" t="str">
            <v>elayne@cozyretire.com</v>
          </cell>
          <cell r="F39" t="str">
            <v>+1 (801) 614-1678</v>
          </cell>
          <cell r="G39" t="str">
            <v>T2016	Adult Residential Services – (Licensed Assisted Living Facility, Memory Care Unit); per diem
T2031	Adult Residential Services (Assisted Living Facilities Level I, Level II, &amp; Type N Facilities); per diem</v>
          </cell>
          <cell r="I39"/>
          <cell r="M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t="str">
            <v>Yes</v>
          </cell>
          <cell r="BX39">
            <v>0.52939999999999998</v>
          </cell>
          <cell r="BY39">
            <v>25612</v>
          </cell>
          <cell r="BZ39">
            <v>25106.5</v>
          </cell>
          <cell r="CA39">
            <v>7751</v>
          </cell>
          <cell r="CB39">
            <v>8256.5</v>
          </cell>
          <cell r="CC39">
            <v>17692.5</v>
          </cell>
          <cell r="CD39">
            <v>19630.25</v>
          </cell>
          <cell r="CE39">
            <v>60186</v>
          </cell>
          <cell r="CF39">
            <v>22</v>
          </cell>
          <cell r="CG39">
            <v>2866</v>
          </cell>
          <cell r="CH39">
            <v>1871</v>
          </cell>
          <cell r="CI39"/>
          <cell r="CJ39"/>
          <cell r="CK39"/>
          <cell r="CL39"/>
          <cell r="CM39"/>
          <cell r="CN39"/>
          <cell r="CO39"/>
          <cell r="CP39"/>
          <cell r="CQ39"/>
          <cell r="CR39"/>
          <cell r="CS39"/>
          <cell r="CT39"/>
          <cell r="CU39"/>
          <cell r="CV39"/>
          <cell r="CW39" t="str">
            <v>Yes</v>
          </cell>
          <cell r="CX39">
            <v>0.33679999999999999</v>
          </cell>
          <cell r="CY39">
            <v>28331.96</v>
          </cell>
          <cell r="CZ39">
            <v>84497.9</v>
          </cell>
          <cell r="DA39">
            <v>23818.2</v>
          </cell>
          <cell r="DB39">
            <v>27787.9</v>
          </cell>
          <cell r="DC39">
            <v>59545.5</v>
          </cell>
          <cell r="DD39">
            <v>69783.600000000006</v>
          </cell>
          <cell r="DE39">
            <v>156933</v>
          </cell>
          <cell r="DF39">
            <v>68</v>
          </cell>
          <cell r="DG39">
            <v>7593</v>
          </cell>
          <cell r="DH39">
            <v>7473</v>
          </cell>
          <cell r="DI39"/>
          <cell r="DJ39"/>
          <cell r="DK39"/>
          <cell r="DL39"/>
          <cell r="DM39"/>
          <cell r="DN39"/>
          <cell r="DO39"/>
          <cell r="DP39"/>
          <cell r="DQ39"/>
          <cell r="DR39"/>
          <cell r="DS39"/>
          <cell r="DT39"/>
          <cell r="DU39"/>
          <cell r="DV39"/>
          <cell r="DW39"/>
          <cell r="DX39"/>
          <cell r="DY39"/>
          <cell r="DZ39">
            <v>806542.28</v>
          </cell>
          <cell r="EA39">
            <v>45981.99</v>
          </cell>
          <cell r="EB39">
            <v>91152.89</v>
          </cell>
          <cell r="EC39">
            <v>3612.09</v>
          </cell>
          <cell r="ED39">
            <v>0</v>
          </cell>
          <cell r="EE39">
            <v>0</v>
          </cell>
          <cell r="EF39">
            <v>0</v>
          </cell>
          <cell r="EG39"/>
          <cell r="EH39"/>
          <cell r="EI39">
            <v>2820663.81</v>
          </cell>
          <cell r="EJ39">
            <v>1017101.73</v>
          </cell>
          <cell r="EK39">
            <v>46601.21</v>
          </cell>
          <cell r="EL39">
            <v>93604.3</v>
          </cell>
          <cell r="EM39"/>
          <cell r="EN39"/>
          <cell r="EO39"/>
          <cell r="EP39"/>
          <cell r="EQ39"/>
          <cell r="ER39"/>
          <cell r="ES39"/>
          <cell r="ET39"/>
          <cell r="EU39"/>
          <cell r="EV39"/>
          <cell r="EW39"/>
          <cell r="EX39"/>
          <cell r="EY39"/>
          <cell r="EZ39"/>
          <cell r="FA39"/>
          <cell r="FB39"/>
          <cell r="FC39"/>
          <cell r="FD39" t="str">
            <v>web-form@smartsheet.com</v>
          </cell>
          <cell r="FE39">
            <v>45709.546214236114</v>
          </cell>
          <cell r="FF39" t="str">
            <v>web-form@smartsheet.com</v>
          </cell>
          <cell r="FG39">
            <v>45709.546214236114</v>
          </cell>
        </row>
        <row r="40">
          <cell r="B40" t="str">
            <v>JEWELS LEGACY GARDEN</v>
          </cell>
          <cell r="C40">
            <v>1780086983</v>
          </cell>
          <cell r="D40" t="str">
            <v>David Jones</v>
          </cell>
          <cell r="E40" t="str">
            <v>jewelslegacygarden@gmail.com</v>
          </cell>
          <cell r="F40" t="str">
            <v>+1 (435) 900-2709</v>
          </cell>
          <cell r="G40" t="str">
            <v>T2031	Adult Residential Services (Assisted Living Facilities Level I, Level II, &amp; Type N Facilities); per diem</v>
          </cell>
          <cell r="I40"/>
          <cell r="M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cell r="BG40"/>
          <cell r="BH40"/>
          <cell r="BI40"/>
          <cell r="BJ40"/>
          <cell r="BK40"/>
          <cell r="BL40"/>
          <cell r="BM40"/>
          <cell r="BN40"/>
          <cell r="BO40"/>
          <cell r="BP40"/>
          <cell r="BQ40"/>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cell r="CV40"/>
          <cell r="CW40" t="str">
            <v>Yes</v>
          </cell>
          <cell r="CX40">
            <v>0.66</v>
          </cell>
          <cell r="CY40"/>
          <cell r="CZ40"/>
          <cell r="DA40"/>
          <cell r="DB40"/>
          <cell r="DC40"/>
          <cell r="DD40"/>
          <cell r="DE40"/>
          <cell r="DF40"/>
          <cell r="DG40"/>
          <cell r="DH40"/>
          <cell r="DI40"/>
          <cell r="DJ40"/>
          <cell r="DK40"/>
          <cell r="DL40"/>
          <cell r="DM40"/>
          <cell r="DN40"/>
          <cell r="DO40"/>
          <cell r="DP40"/>
          <cell r="DQ40"/>
          <cell r="DR40"/>
          <cell r="DS40"/>
          <cell r="DT40"/>
          <cell r="DU40"/>
          <cell r="DV40"/>
          <cell r="DW40"/>
          <cell r="DX40"/>
          <cell r="DY40"/>
          <cell r="DZ40"/>
          <cell r="EA40"/>
          <cell r="EB40"/>
          <cell r="EC40"/>
          <cell r="ED40"/>
          <cell r="EE40"/>
          <cell r="EF40"/>
          <cell r="EG40"/>
          <cell r="EH40"/>
          <cell r="EI40"/>
          <cell r="EJ40"/>
          <cell r="EK40"/>
          <cell r="EL40"/>
          <cell r="EM40"/>
          <cell r="EN40"/>
          <cell r="EO40"/>
          <cell r="EP40"/>
          <cell r="EQ40"/>
          <cell r="ER40"/>
          <cell r="ES40"/>
          <cell r="ET40"/>
          <cell r="EU40"/>
          <cell r="EV40"/>
          <cell r="EW40"/>
          <cell r="EX40"/>
          <cell r="EY40"/>
          <cell r="EZ40"/>
          <cell r="FA40"/>
          <cell r="FB40"/>
          <cell r="FC40"/>
          <cell r="FD40" t="str">
            <v>web-form@smartsheet.com</v>
          </cell>
          <cell r="FE40">
            <v>45709.605778460646</v>
          </cell>
          <cell r="FF40" t="str">
            <v>web-form@smartsheet.com</v>
          </cell>
          <cell r="FG40">
            <v>45709.605778460646</v>
          </cell>
        </row>
        <row r="41">
          <cell r="B41" t="str">
            <v>SEGO LILY ASSISTED LIVING</v>
          </cell>
          <cell r="C41">
            <v>5300404105</v>
          </cell>
          <cell r="D41" t="str">
            <v>Marina Rider</v>
          </cell>
          <cell r="E41" t="str">
            <v>marina.segolily@gmail.com</v>
          </cell>
          <cell r="F41" t="str">
            <v>+1 (801) 367-8854</v>
          </cell>
          <cell r="G41" t="str">
            <v>T2031	Adult Residential Services (Assisted Living Facilities Level I, Level II, &amp; Type N Facilities); per diem</v>
          </cell>
          <cell r="I41"/>
          <cell r="M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Yes</v>
          </cell>
          <cell r="CX41">
            <v>0.67</v>
          </cell>
          <cell r="CY41">
            <v>19297</v>
          </cell>
          <cell r="CZ41">
            <v>23546</v>
          </cell>
          <cell r="DA41">
            <v>4040</v>
          </cell>
          <cell r="DB41">
            <v>3669</v>
          </cell>
          <cell r="DC41">
            <v>13226</v>
          </cell>
          <cell r="DD41">
            <v>4314</v>
          </cell>
          <cell r="DE41">
            <v>15851</v>
          </cell>
          <cell r="DF41">
            <v>11</v>
          </cell>
          <cell r="DG41">
            <v>3161</v>
          </cell>
          <cell r="DH41">
            <v>2155</v>
          </cell>
          <cell r="DI41"/>
          <cell r="DJ41"/>
          <cell r="DK41"/>
          <cell r="DL41"/>
          <cell r="DM41"/>
          <cell r="DN41"/>
          <cell r="DO41"/>
          <cell r="DP41"/>
          <cell r="DQ41"/>
          <cell r="DR41"/>
          <cell r="DS41"/>
          <cell r="DT41"/>
          <cell r="DU41"/>
          <cell r="DV41"/>
          <cell r="DW41"/>
          <cell r="DX41"/>
          <cell r="DY41"/>
          <cell r="DZ41">
            <v>144556</v>
          </cell>
          <cell r="EA41">
            <v>8992</v>
          </cell>
          <cell r="EB41">
            <v>20864</v>
          </cell>
          <cell r="EC41">
            <v>520</v>
          </cell>
          <cell r="ED41">
            <v>0</v>
          </cell>
          <cell r="EE41">
            <v>0</v>
          </cell>
          <cell r="EF41">
            <v>0</v>
          </cell>
          <cell r="EG41"/>
          <cell r="EH41"/>
          <cell r="EI41">
            <v>316589</v>
          </cell>
          <cell r="EJ41">
            <v>194020</v>
          </cell>
          <cell r="EK41">
            <v>19715</v>
          </cell>
          <cell r="EL41">
            <v>28600</v>
          </cell>
          <cell r="EM41"/>
          <cell r="EN41"/>
          <cell r="EO41"/>
          <cell r="EP41"/>
          <cell r="EQ41"/>
          <cell r="ER41"/>
          <cell r="ES41"/>
          <cell r="ET41"/>
          <cell r="EU41"/>
          <cell r="EV41"/>
          <cell r="EW41"/>
          <cell r="EX41"/>
          <cell r="EY41"/>
          <cell r="EZ41"/>
          <cell r="FA41"/>
          <cell r="FB41"/>
          <cell r="FC41"/>
          <cell r="FD41" t="str">
            <v>web-form@smartsheet.com</v>
          </cell>
          <cell r="FE41">
            <v>45710.888141574076</v>
          </cell>
          <cell r="FF41" t="str">
            <v>web-form@smartsheet.com</v>
          </cell>
          <cell r="FG41">
            <v>45710.888141574076</v>
          </cell>
        </row>
        <row r="42">
          <cell r="B42" t="str">
            <v>GABLES OF BRIGHAM CITY</v>
          </cell>
          <cell r="C42">
            <v>472829991</v>
          </cell>
          <cell r="D42" t="str">
            <v>Dave Willits</v>
          </cell>
          <cell r="E42" t="str">
            <v>dwillits@thegablesfamily.com</v>
          </cell>
          <cell r="F42" t="str">
            <v>+1 (208) 357-3323</v>
          </cell>
          <cell r="G42" t="str">
            <v>T2016	Adult Residential Services – (Licensed Assisted Living Facility, Memory Care Unit); per diem
T2031	Adult Residential Services (Assisted Living Facilities Level I, Level II, &amp; Type N Facilities); per diem</v>
          </cell>
          <cell r="I42"/>
          <cell r="M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cell r="BG42"/>
          <cell r="BH42"/>
          <cell r="BI42"/>
          <cell r="BJ42"/>
          <cell r="BK42"/>
          <cell r="BL42"/>
          <cell r="BM42"/>
          <cell r="BN42"/>
          <cell r="BO42"/>
          <cell r="BP42"/>
          <cell r="BQ42"/>
          <cell r="BR42"/>
          <cell r="BS42"/>
          <cell r="BT42"/>
          <cell r="BU42"/>
          <cell r="BV42"/>
          <cell r="BW42" t="str">
            <v>Yes</v>
          </cell>
          <cell r="BX42">
            <v>0.03</v>
          </cell>
          <cell r="BY42">
            <v>1462.35</v>
          </cell>
          <cell r="BZ42">
            <v>279.26</v>
          </cell>
          <cell r="CA42">
            <v>581.47</v>
          </cell>
          <cell r="CB42">
            <v>277.33</v>
          </cell>
          <cell r="CC42">
            <v>2625.87</v>
          </cell>
          <cell r="CD42">
            <v>2203.61</v>
          </cell>
          <cell r="CE42">
            <v>3639.76</v>
          </cell>
          <cell r="CF42">
            <v>15</v>
          </cell>
          <cell r="CG42">
            <v>4830</v>
          </cell>
          <cell r="CH42">
            <v>366</v>
          </cell>
          <cell r="CI42"/>
          <cell r="CJ42"/>
          <cell r="CK42"/>
          <cell r="CL42"/>
          <cell r="CM42"/>
          <cell r="CN42"/>
          <cell r="CO42"/>
          <cell r="CP42"/>
          <cell r="CQ42"/>
          <cell r="CR42"/>
          <cell r="CS42"/>
          <cell r="CT42"/>
          <cell r="CU42"/>
          <cell r="CV42"/>
          <cell r="CW42" t="str">
            <v>Yes</v>
          </cell>
          <cell r="CX42">
            <v>0.24</v>
          </cell>
          <cell r="CY42">
            <v>11650.04</v>
          </cell>
          <cell r="CZ42">
            <v>2224.75</v>
          </cell>
          <cell r="DA42">
            <v>4632.3999999999996</v>
          </cell>
          <cell r="DB42">
            <v>2209.42</v>
          </cell>
          <cell r="DC42">
            <v>20919.46</v>
          </cell>
          <cell r="DD42">
            <v>17555.39</v>
          </cell>
          <cell r="DE42">
            <v>28996.79</v>
          </cell>
          <cell r="DF42">
            <v>37</v>
          </cell>
          <cell r="DG42">
            <v>11585</v>
          </cell>
          <cell r="DH42">
            <v>2769</v>
          </cell>
          <cell r="DI42"/>
          <cell r="DJ42"/>
          <cell r="DK42"/>
          <cell r="DL42"/>
          <cell r="DM42"/>
          <cell r="DN42"/>
          <cell r="DO42"/>
          <cell r="DP42"/>
          <cell r="DQ42"/>
          <cell r="DR42"/>
          <cell r="DS42"/>
          <cell r="DT42"/>
          <cell r="DU42"/>
          <cell r="DV42"/>
          <cell r="DW42"/>
          <cell r="DX42"/>
          <cell r="DY42"/>
          <cell r="DZ42">
            <v>249066.79</v>
          </cell>
          <cell r="EA42">
            <v>11465.59</v>
          </cell>
          <cell r="EB42">
            <v>26583.77</v>
          </cell>
          <cell r="EC42">
            <v>1199.1400000000001</v>
          </cell>
          <cell r="ED42">
            <v>9038.4</v>
          </cell>
          <cell r="EE42">
            <v>719.05</v>
          </cell>
          <cell r="EF42">
            <v>0</v>
          </cell>
          <cell r="EG42" t="str">
            <v>N/A</v>
          </cell>
          <cell r="EH42"/>
          <cell r="EI42">
            <v>1535609.05</v>
          </cell>
          <cell r="EJ42">
            <v>1058323.27</v>
          </cell>
          <cell r="EK42">
            <v>93382.47</v>
          </cell>
          <cell r="EL42">
            <v>108180</v>
          </cell>
          <cell r="EM42"/>
          <cell r="EN42"/>
          <cell r="EO42"/>
          <cell r="EP42"/>
          <cell r="EQ42"/>
          <cell r="ER42"/>
          <cell r="ES42"/>
          <cell r="ET42"/>
          <cell r="EU42"/>
          <cell r="EV42"/>
          <cell r="EW42"/>
          <cell r="EX42"/>
          <cell r="EY42"/>
          <cell r="EZ42"/>
          <cell r="FA42"/>
          <cell r="FB42"/>
          <cell r="FC42"/>
          <cell r="FD42" t="str">
            <v>web-form@smartsheet.com</v>
          </cell>
          <cell r="FE42">
            <v>45712.506725717591</v>
          </cell>
          <cell r="FF42" t="str">
            <v>web-form@smartsheet.com</v>
          </cell>
          <cell r="FG42">
            <v>45712.506725717591</v>
          </cell>
        </row>
        <row r="43">
          <cell r="B43" t="str">
            <v>GABLES OF N LOGAN ASSIST LIVING</v>
          </cell>
          <cell r="C43">
            <v>462857017</v>
          </cell>
          <cell r="D43" t="str">
            <v>Dave Willits</v>
          </cell>
          <cell r="E43" t="str">
            <v>dwillits@thegablesfamily.com</v>
          </cell>
          <cell r="F43" t="str">
            <v>+1 (208) 357-3323</v>
          </cell>
          <cell r="G43" t="str">
            <v>T2016	Adult Residential Services – (Licensed Assisted Living Facility, Memory Care Unit); per diem
T2031	Adult Residential Services (Assisted Living Facilities Level I, Level II, &amp; Type N Facilities); per diem</v>
          </cell>
          <cell r="I43"/>
          <cell r="M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cell r="BG43"/>
          <cell r="BH43"/>
          <cell r="BI43"/>
          <cell r="BJ43"/>
          <cell r="BK43"/>
          <cell r="BL43"/>
          <cell r="BM43"/>
          <cell r="BN43"/>
          <cell r="BO43"/>
          <cell r="BP43"/>
          <cell r="BQ43"/>
          <cell r="BR43"/>
          <cell r="BS43"/>
          <cell r="BT43"/>
          <cell r="BU43"/>
          <cell r="BV43"/>
          <cell r="BW43" t="str">
            <v>Yes</v>
          </cell>
          <cell r="BX43">
            <v>6.5000000000000002E-2</v>
          </cell>
          <cell r="BY43">
            <v>7800</v>
          </cell>
          <cell r="BZ43">
            <v>0</v>
          </cell>
          <cell r="CA43">
            <v>477.16</v>
          </cell>
          <cell r="CB43">
            <v>234.26</v>
          </cell>
          <cell r="CC43">
            <v>2331.62</v>
          </cell>
          <cell r="CD43">
            <v>2562.15</v>
          </cell>
          <cell r="CE43">
            <v>3016.54</v>
          </cell>
          <cell r="CF43">
            <v>16</v>
          </cell>
          <cell r="CG43">
            <v>5856</v>
          </cell>
          <cell r="CH43">
            <v>436</v>
          </cell>
          <cell r="CI43"/>
          <cell r="CJ43"/>
          <cell r="CK43"/>
          <cell r="CL43"/>
          <cell r="CM43"/>
          <cell r="CN43"/>
          <cell r="CO43"/>
          <cell r="CP43"/>
          <cell r="CQ43"/>
          <cell r="CR43"/>
          <cell r="CS43"/>
          <cell r="CT43"/>
          <cell r="CU43"/>
          <cell r="CV43"/>
          <cell r="CW43" t="str">
            <v>Yes</v>
          </cell>
          <cell r="CX43">
            <v>1.1000000000000001E-2</v>
          </cell>
          <cell r="CY43">
            <v>1320</v>
          </cell>
          <cell r="CZ43">
            <v>0</v>
          </cell>
          <cell r="DA43">
            <v>80.75</v>
          </cell>
          <cell r="DB43">
            <v>39.65</v>
          </cell>
          <cell r="DC43">
            <v>394.58</v>
          </cell>
          <cell r="DD43">
            <v>433.59</v>
          </cell>
          <cell r="DE43">
            <v>510.49</v>
          </cell>
          <cell r="DF43">
            <v>16</v>
          </cell>
          <cell r="DG43">
            <v>5856</v>
          </cell>
          <cell r="DH43">
            <v>60</v>
          </cell>
          <cell r="DI43"/>
          <cell r="DJ43"/>
          <cell r="DK43"/>
          <cell r="DL43"/>
          <cell r="DM43"/>
          <cell r="DN43"/>
          <cell r="DO43"/>
          <cell r="DP43"/>
          <cell r="DQ43"/>
          <cell r="DR43"/>
          <cell r="DS43"/>
          <cell r="DT43"/>
          <cell r="DU43"/>
          <cell r="DV43"/>
          <cell r="DW43"/>
          <cell r="DX43"/>
          <cell r="DY43"/>
          <cell r="DZ43">
            <v>31995.37</v>
          </cell>
          <cell r="EA43">
            <v>1279.54</v>
          </cell>
          <cell r="EB43">
            <v>4783.8100000000004</v>
          </cell>
          <cell r="EC43">
            <v>118.56</v>
          </cell>
          <cell r="ED43">
            <v>12240</v>
          </cell>
          <cell r="EE43">
            <v>54.39</v>
          </cell>
          <cell r="EF43">
            <v>97.09</v>
          </cell>
          <cell r="EG43" t="str">
            <v>N/A</v>
          </cell>
          <cell r="EH43"/>
          <cell r="EI43">
            <v>709803.46</v>
          </cell>
          <cell r="EJ43">
            <v>496176.57</v>
          </cell>
          <cell r="EK43">
            <v>42882.77</v>
          </cell>
          <cell r="EL43">
            <v>53345.13</v>
          </cell>
          <cell r="EM43"/>
          <cell r="EN43"/>
          <cell r="EO43"/>
          <cell r="EP43"/>
          <cell r="EQ43"/>
          <cell r="ER43"/>
          <cell r="ES43"/>
          <cell r="ET43"/>
          <cell r="EU43"/>
          <cell r="EV43"/>
          <cell r="EW43"/>
          <cell r="EX43"/>
          <cell r="EY43"/>
          <cell r="EZ43"/>
          <cell r="FA43"/>
          <cell r="FB43"/>
          <cell r="FC43"/>
          <cell r="FD43" t="str">
            <v>web-form@smartsheet.com</v>
          </cell>
          <cell r="FE43">
            <v>45712.548791273148</v>
          </cell>
          <cell r="FF43" t="str">
            <v>web-form@smartsheet.com</v>
          </cell>
          <cell r="FG43">
            <v>45712.548791273148</v>
          </cell>
        </row>
        <row r="44">
          <cell r="B44" t="str">
            <v>ROCKY MTN PERSONAL CARE AW</v>
          </cell>
          <cell r="C44">
            <v>1629075361</v>
          </cell>
          <cell r="D44" t="str">
            <v>Thiennga Nielson</v>
          </cell>
          <cell r="E44" t="str">
            <v>thiennga.nielson@rmcare.com</v>
          </cell>
          <cell r="F44" t="str">
            <v>+1 (801) 660-4007</v>
          </cell>
          <cell r="G44" t="str">
            <v>S5125	Attendant Care Services or Personal attendant service, participant employed; per 15 minutes
S5130	Homemaker services; per 15 minutes
S5135	Companion care adult; per 15 minutes
S5150	Respite care services or Respite care services – Unskilled; per 15 minutes
T1019	Personal attendant service, agency-based; per 15 minutes
T1021	Supportive Maintenance, home health aide or Home Health Aide or Certif Nurse Assist, per Visit</v>
          </cell>
          <cell r="I44"/>
          <cell r="M44"/>
          <cell r="P44"/>
          <cell r="Q44"/>
          <cell r="R44"/>
          <cell r="S44"/>
          <cell r="T44"/>
          <cell r="U44"/>
          <cell r="V44"/>
          <cell r="W44"/>
          <cell r="X44"/>
          <cell r="Y44"/>
          <cell r="Z44"/>
          <cell r="AA44"/>
          <cell r="AB44"/>
          <cell r="AC44"/>
          <cell r="AD44"/>
          <cell r="AE44"/>
          <cell r="AF44"/>
          <cell r="AG44"/>
          <cell r="AH44"/>
          <cell r="AI44"/>
          <cell r="AJ44" t="str">
            <v>Yes</v>
          </cell>
          <cell r="AK44">
            <v>1</v>
          </cell>
          <cell r="AL44">
            <v>1909</v>
          </cell>
          <cell r="AM44" t="str">
            <v>Yes</v>
          </cell>
          <cell r="AN44">
            <v>1</v>
          </cell>
          <cell r="AO44">
            <v>437</v>
          </cell>
          <cell r="AP44" t="str">
            <v>Yes</v>
          </cell>
          <cell r="AQ44">
            <v>1</v>
          </cell>
          <cell r="AR44">
            <v>297</v>
          </cell>
          <cell r="AS44" t="str">
            <v>Yes</v>
          </cell>
          <cell r="AT44">
            <v>1</v>
          </cell>
          <cell r="AU44">
            <v>137</v>
          </cell>
          <cell r="AV44"/>
          <cell r="AW44"/>
          <cell r="AX44"/>
          <cell r="AY44"/>
          <cell r="AZ44"/>
          <cell r="BA44"/>
          <cell r="BB44"/>
          <cell r="BC44"/>
          <cell r="BD44"/>
          <cell r="BE44"/>
          <cell r="BF44"/>
          <cell r="BG44"/>
          <cell r="BH44" t="str">
            <v>Yes</v>
          </cell>
          <cell r="BI44">
            <v>0.19</v>
          </cell>
          <cell r="BJ44">
            <v>12590</v>
          </cell>
          <cell r="BK44" t="str">
            <v>Yes</v>
          </cell>
          <cell r="BL44">
            <v>0.49</v>
          </cell>
          <cell r="BM44">
            <v>7518</v>
          </cell>
          <cell r="BN44">
            <v>60</v>
          </cell>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cell r="CV44"/>
          <cell r="CW44"/>
          <cell r="CX44"/>
          <cell r="CY44"/>
          <cell r="CZ44"/>
          <cell r="DA44"/>
          <cell r="DB44"/>
          <cell r="DC44"/>
          <cell r="DD44"/>
          <cell r="DE44"/>
          <cell r="DF44"/>
          <cell r="DG44"/>
          <cell r="DH44"/>
          <cell r="DI44"/>
          <cell r="DJ44"/>
          <cell r="DK44"/>
          <cell r="DL44"/>
          <cell r="DM44"/>
          <cell r="DN44"/>
          <cell r="DO44"/>
          <cell r="DP44"/>
          <cell r="DQ44"/>
          <cell r="DR44"/>
          <cell r="DS44"/>
          <cell r="DT44"/>
          <cell r="DU44"/>
          <cell r="DV44"/>
          <cell r="DW44"/>
          <cell r="DX44"/>
          <cell r="DY44"/>
          <cell r="DZ44">
            <v>3531403</v>
          </cell>
          <cell r="EA44">
            <v>178196</v>
          </cell>
          <cell r="EB44">
            <v>663881</v>
          </cell>
          <cell r="EC44">
            <v>17268</v>
          </cell>
          <cell r="ED44">
            <v>30420</v>
          </cell>
          <cell r="EE44">
            <v>17655</v>
          </cell>
          <cell r="EF44">
            <v>6288</v>
          </cell>
          <cell r="EG44" t="str">
            <v>6288		NURSING SUPPLIES</v>
          </cell>
          <cell r="EH44"/>
          <cell r="EI44">
            <v>5813388</v>
          </cell>
          <cell r="EJ44">
            <v>4028675</v>
          </cell>
          <cell r="EK44">
            <v>1035403</v>
          </cell>
          <cell r="EL44">
            <v>1870048</v>
          </cell>
          <cell r="EM44"/>
          <cell r="EN44"/>
          <cell r="EO44"/>
          <cell r="EP44"/>
          <cell r="EQ44"/>
          <cell r="ER44"/>
          <cell r="ES44"/>
          <cell r="ET44"/>
          <cell r="EU44"/>
          <cell r="EV44"/>
          <cell r="EW44"/>
          <cell r="EX44"/>
          <cell r="EY44" t="str">
            <v>1 HOUR average length visit</v>
          </cell>
          <cell r="EZ44"/>
          <cell r="FA44"/>
          <cell r="FB44"/>
          <cell r="FC44"/>
          <cell r="FD44" t="str">
            <v>web-form@smartsheet.com</v>
          </cell>
          <cell r="FE44">
            <v>45712.63882670139</v>
          </cell>
          <cell r="FF44" t="str">
            <v>web-form@smartsheet.com</v>
          </cell>
          <cell r="FG44">
            <v>45712.63882670139</v>
          </cell>
        </row>
        <row r="45">
          <cell r="B45" t="str">
            <v>ZIONS WAY HOME HEALTH</v>
          </cell>
          <cell r="C45">
            <v>1588930705</v>
          </cell>
          <cell r="D45" t="str">
            <v>Cortney Mathews</v>
          </cell>
          <cell r="E45" t="str">
            <v>cortney.mathews@zionsway.com</v>
          </cell>
          <cell r="F45" t="str">
            <v>+1 (435) 688-0648</v>
          </cell>
          <cell r="G45" t="str">
            <v>S5130	Homemaker services; per 15 minutes
T1000	Extended State Plan Service – Private Duty Nursing; per 15 minutes
T1019	Personal attendant service, agency-based; per 15 minutes
T1021	Supportive Maintenance, home health aide or Home Health Aide or Certif Nurse Assist, per Visit</v>
          </cell>
          <cell r="I45"/>
          <cell r="M45"/>
          <cell r="P45"/>
          <cell r="Q45"/>
          <cell r="R45"/>
          <cell r="S45"/>
          <cell r="T45"/>
          <cell r="U45"/>
          <cell r="V45"/>
          <cell r="W45"/>
          <cell r="X45"/>
          <cell r="Y45"/>
          <cell r="Z45"/>
          <cell r="AA45"/>
          <cell r="AB45"/>
          <cell r="AC45"/>
          <cell r="AD45"/>
          <cell r="AE45"/>
          <cell r="AF45"/>
          <cell r="AG45"/>
          <cell r="AH45"/>
          <cell r="AI45"/>
          <cell r="AJ45"/>
          <cell r="AK45"/>
          <cell r="AL45"/>
          <cell r="AM45" t="str">
            <v>Yes</v>
          </cell>
          <cell r="AN45">
            <v>0.26</v>
          </cell>
          <cell r="AO45">
            <v>3596</v>
          </cell>
          <cell r="AP45"/>
          <cell r="AQ45"/>
          <cell r="AR45"/>
          <cell r="AS45"/>
          <cell r="AT45"/>
          <cell r="AU45"/>
          <cell r="AV45"/>
          <cell r="AW45"/>
          <cell r="AX45"/>
          <cell r="AY45" t="str">
            <v>Yes</v>
          </cell>
          <cell r="AZ45">
            <v>1</v>
          </cell>
          <cell r="BA45">
            <v>2576</v>
          </cell>
          <cell r="BB45"/>
          <cell r="BC45"/>
          <cell r="BD45"/>
          <cell r="BE45"/>
          <cell r="BF45"/>
          <cell r="BG45"/>
          <cell r="BH45" t="str">
            <v>Yes</v>
          </cell>
          <cell r="BI45">
            <v>0.09</v>
          </cell>
          <cell r="BJ45">
            <v>10784</v>
          </cell>
          <cell r="BK45" t="str">
            <v>Yes</v>
          </cell>
          <cell r="BL45">
            <v>0.96</v>
          </cell>
          <cell r="BM45">
            <v>21636</v>
          </cell>
          <cell r="BN45">
            <v>92</v>
          </cell>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B45"/>
          <cell r="DC45"/>
          <cell r="DD45"/>
          <cell r="DE45"/>
          <cell r="DF45"/>
          <cell r="DG45"/>
          <cell r="DH45"/>
          <cell r="DI45"/>
          <cell r="DJ45"/>
          <cell r="DK45"/>
          <cell r="DL45"/>
          <cell r="DM45"/>
          <cell r="DN45"/>
          <cell r="DO45"/>
          <cell r="DP45"/>
          <cell r="DQ45"/>
          <cell r="DR45"/>
          <cell r="DS45"/>
          <cell r="DT45"/>
          <cell r="DU45"/>
          <cell r="DV45"/>
          <cell r="DW45"/>
          <cell r="DX45"/>
          <cell r="DY45"/>
          <cell r="DZ45">
            <v>1201530</v>
          </cell>
          <cell r="EA45">
            <v>33195</v>
          </cell>
          <cell r="EB45">
            <v>431750</v>
          </cell>
          <cell r="EC45">
            <v>6136</v>
          </cell>
          <cell r="ED45">
            <v>0</v>
          </cell>
          <cell r="EE45">
            <v>271295</v>
          </cell>
          <cell r="EF45">
            <v>482305</v>
          </cell>
          <cell r="EG45" t="str">
            <v>This figure includes supply and travel costs</v>
          </cell>
          <cell r="EH45"/>
          <cell r="EI45">
            <v>15830582</v>
          </cell>
          <cell r="EJ45">
            <v>8615062</v>
          </cell>
          <cell r="EK45">
            <v>1376561</v>
          </cell>
          <cell r="EL45">
            <v>5390170</v>
          </cell>
          <cell r="EM45"/>
          <cell r="EN45"/>
          <cell r="EO45"/>
          <cell r="EP45"/>
          <cell r="EQ45"/>
          <cell r="ER45"/>
          <cell r="ES45"/>
          <cell r="ET45"/>
          <cell r="EU45"/>
          <cell r="EV45"/>
          <cell r="EW45"/>
          <cell r="EX45"/>
          <cell r="EY45"/>
          <cell r="EZ45"/>
          <cell r="FA45"/>
          <cell r="FB45"/>
          <cell r="FC45"/>
          <cell r="FD45" t="str">
            <v>web-form@smartsheet.com</v>
          </cell>
          <cell r="FE45">
            <v>45713.330285324075</v>
          </cell>
          <cell r="FF45" t="str">
            <v>web-form@smartsheet.com</v>
          </cell>
          <cell r="FG45">
            <v>45713.330285324075</v>
          </cell>
        </row>
        <row r="46">
          <cell r="B46" t="str">
            <v>LIVE EMPOWERED</v>
          </cell>
          <cell r="C46" t="str">
            <v>0000086032</v>
          </cell>
          <cell r="D46" t="str">
            <v>Benjamin McGee</v>
          </cell>
          <cell r="E46" t="str">
            <v>ben.mcgee@liveempoweredutah.com</v>
          </cell>
          <cell r="F46" t="str">
            <v>+1 (385) 447-6394</v>
          </cell>
          <cell r="G46" t="str">
            <v>H0038	Personal Budget Assistance; per 15 minutes</v>
          </cell>
          <cell r="I46"/>
          <cell r="L46" t="str">
            <v>Yes</v>
          </cell>
          <cell r="M46">
            <v>1</v>
          </cell>
          <cell r="N46">
            <v>242</v>
          </cell>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cell r="CV46"/>
          <cell r="CW46"/>
          <cell r="CX46"/>
          <cell r="CY46"/>
          <cell r="CZ46"/>
          <cell r="DA46"/>
          <cell r="DB46"/>
          <cell r="DC46"/>
          <cell r="DD46"/>
          <cell r="DE46"/>
          <cell r="DF46"/>
          <cell r="DG46"/>
          <cell r="DH46"/>
          <cell r="DI46"/>
          <cell r="DJ46"/>
          <cell r="DK46"/>
          <cell r="DL46"/>
          <cell r="DM46"/>
          <cell r="DN46"/>
          <cell r="DO46"/>
          <cell r="DP46"/>
          <cell r="DQ46"/>
          <cell r="DR46"/>
          <cell r="DS46"/>
          <cell r="DT46"/>
          <cell r="DU46"/>
          <cell r="DV46"/>
          <cell r="DW46"/>
          <cell r="DX46"/>
          <cell r="DY46"/>
          <cell r="DZ46">
            <v>44621</v>
          </cell>
          <cell r="EA46">
            <v>2131.06</v>
          </cell>
          <cell r="EB46">
            <v>42000</v>
          </cell>
          <cell r="EC46">
            <v>2080.08</v>
          </cell>
          <cell r="ED46">
            <v>0</v>
          </cell>
          <cell r="EE46">
            <v>2658</v>
          </cell>
          <cell r="EF46"/>
          <cell r="EG46"/>
          <cell r="EH46"/>
          <cell r="EI46">
            <v>2193107.0299999998</v>
          </cell>
          <cell r="EJ46">
            <v>852151.95</v>
          </cell>
          <cell r="EK46">
            <v>52285</v>
          </cell>
          <cell r="EL46">
            <v>116789</v>
          </cell>
          <cell r="EM46"/>
          <cell r="EN46"/>
          <cell r="EO46"/>
          <cell r="EP46"/>
          <cell r="EQ46"/>
          <cell r="ER46"/>
          <cell r="ES46"/>
          <cell r="ET46"/>
          <cell r="EU46"/>
          <cell r="EV46"/>
          <cell r="EW46"/>
          <cell r="EX46"/>
          <cell r="EY46"/>
          <cell r="EZ46"/>
          <cell r="FA46"/>
          <cell r="FB46"/>
          <cell r="FC46"/>
          <cell r="FD46" t="str">
            <v>web-form@smartsheet.com</v>
          </cell>
          <cell r="FE46">
            <v>45713.369206249998</v>
          </cell>
          <cell r="FF46" t="str">
            <v>web-form@smartsheet.com</v>
          </cell>
          <cell r="FG46">
            <v>45713.369206249998</v>
          </cell>
        </row>
        <row r="47">
          <cell r="B47" t="str">
            <v>RIDGEVIEW GARDENS ASST LVG</v>
          </cell>
          <cell r="C47">
            <v>1033274451</v>
          </cell>
          <cell r="D47" t="str">
            <v>Janene Allred</v>
          </cell>
          <cell r="E47" t="str">
            <v>Janene@salmg.com</v>
          </cell>
          <cell r="F47" t="str">
            <v>+1 (435) 753-7297</v>
          </cell>
          <cell r="G47" t="str">
            <v>T2031	Adult Residential Services (Assisted Living Facilities Level I, Level II, &amp; Type N Facilities); per diem</v>
          </cell>
          <cell r="I47"/>
          <cell r="M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cell r="CV47"/>
          <cell r="CW47" t="str">
            <v>Yes</v>
          </cell>
          <cell r="CX47">
            <v>0.41</v>
          </cell>
          <cell r="CY47">
            <v>0</v>
          </cell>
          <cell r="CZ47">
            <v>0</v>
          </cell>
          <cell r="DA47">
            <v>4632.7700000000004</v>
          </cell>
          <cell r="DB47">
            <v>0</v>
          </cell>
          <cell r="DC47">
            <v>29851.22</v>
          </cell>
          <cell r="DD47">
            <v>530.62</v>
          </cell>
          <cell r="DE47">
            <v>27259.52</v>
          </cell>
          <cell r="DF47">
            <v>50</v>
          </cell>
          <cell r="DG47">
            <v>10851</v>
          </cell>
          <cell r="DH47">
            <v>4449</v>
          </cell>
          <cell r="DI47"/>
          <cell r="DJ47"/>
          <cell r="DK47"/>
          <cell r="DL47"/>
          <cell r="DM47"/>
          <cell r="DN47"/>
          <cell r="DO47"/>
          <cell r="DP47"/>
          <cell r="DQ47"/>
          <cell r="DR47"/>
          <cell r="DS47"/>
          <cell r="DT47"/>
          <cell r="DU47"/>
          <cell r="DV47"/>
          <cell r="DW47"/>
          <cell r="DX47"/>
          <cell r="DY47"/>
          <cell r="DZ47">
            <v>336270.4</v>
          </cell>
          <cell r="EA47">
            <v>12463.62</v>
          </cell>
          <cell r="EB47">
            <v>63749.94</v>
          </cell>
          <cell r="EC47">
            <v>2072</v>
          </cell>
          <cell r="ED47">
            <v>0</v>
          </cell>
          <cell r="EE47">
            <v>0</v>
          </cell>
          <cell r="EF47">
            <v>1340.72</v>
          </cell>
          <cell r="EG47" t="str">
            <v>Activity Supplies and Health Service supplies</v>
          </cell>
          <cell r="EH47"/>
          <cell r="EI47">
            <v>1232609.79</v>
          </cell>
          <cell r="EJ47">
            <v>659107.49</v>
          </cell>
          <cell r="EK47">
            <v>109834.04</v>
          </cell>
          <cell r="EL47">
            <v>209862.11</v>
          </cell>
          <cell r="EM47"/>
          <cell r="EN47"/>
          <cell r="EO47"/>
          <cell r="EP47"/>
          <cell r="EQ47"/>
          <cell r="ER47"/>
          <cell r="ES47"/>
          <cell r="ET47"/>
          <cell r="EU47"/>
          <cell r="EV47"/>
          <cell r="EW47"/>
          <cell r="EX47"/>
          <cell r="EY47"/>
          <cell r="EZ47"/>
          <cell r="FA47"/>
          <cell r="FB47"/>
          <cell r="FC47"/>
          <cell r="FD47" t="str">
            <v>web-form@smartsheet.com</v>
          </cell>
          <cell r="FE47">
            <v>45713.427649386576</v>
          </cell>
          <cell r="FF47" t="str">
            <v>web-form@smartsheet.com</v>
          </cell>
          <cell r="FG47">
            <v>45713.427649386576</v>
          </cell>
        </row>
        <row r="48">
          <cell r="B48" t="str">
            <v>ROCKY MTN CARE CLEARFIELD</v>
          </cell>
          <cell r="C48">
            <v>1629075361</v>
          </cell>
          <cell r="D48" t="str">
            <v>Thiennga Nielson</v>
          </cell>
          <cell r="E48" t="str">
            <v>thiennga.nielson@rmcare.com</v>
          </cell>
          <cell r="F48" t="str">
            <v>+1 (801) 660-4007</v>
          </cell>
          <cell r="G48" t="str">
            <v>H0045	Respite Care – Overnight, Out of Home, Room &amp; Board included or Respite Care Services – LTC facility; per diem</v>
          </cell>
          <cell r="I48"/>
          <cell r="M48"/>
          <cell r="P48"/>
          <cell r="Q48"/>
          <cell r="R48"/>
          <cell r="S48"/>
          <cell r="T48"/>
          <cell r="U48"/>
          <cell r="V48"/>
          <cell r="W48"/>
          <cell r="X48"/>
          <cell r="Y48"/>
          <cell r="Z48"/>
          <cell r="AA48"/>
          <cell r="AB48" t="str">
            <v>Yes</v>
          </cell>
          <cell r="AC48">
            <v>1</v>
          </cell>
          <cell r="AD48">
            <v>0</v>
          </cell>
          <cell r="AE48">
            <v>0</v>
          </cell>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cell r="CV48"/>
          <cell r="CW48"/>
          <cell r="CX48"/>
          <cell r="CY48"/>
          <cell r="CZ48"/>
          <cell r="DA48"/>
          <cell r="DB48"/>
          <cell r="DC48"/>
          <cell r="DD48"/>
          <cell r="DE48"/>
          <cell r="DF48"/>
          <cell r="DG48"/>
          <cell r="DH48"/>
          <cell r="DI48"/>
          <cell r="DJ48"/>
          <cell r="DK48"/>
          <cell r="DL48"/>
          <cell r="DM48"/>
          <cell r="DN48"/>
          <cell r="DO48"/>
          <cell r="DP48"/>
          <cell r="DQ48"/>
          <cell r="DR48"/>
          <cell r="DS48"/>
          <cell r="DT48"/>
          <cell r="DU48"/>
          <cell r="DV48"/>
          <cell r="DW48"/>
          <cell r="DX48"/>
          <cell r="DY48"/>
          <cell r="DZ48">
            <v>5233446</v>
          </cell>
          <cell r="EA48">
            <v>176140</v>
          </cell>
          <cell r="EB48">
            <v>750410</v>
          </cell>
          <cell r="EC48">
            <v>15483</v>
          </cell>
          <cell r="ED48">
            <v>2693521</v>
          </cell>
          <cell r="EE48">
            <v>1058</v>
          </cell>
          <cell r="EF48">
            <v>86876</v>
          </cell>
          <cell r="EG48" t="str">
            <v>NURSING - OFFICE SUPPLIES	963.84
NURSING SUPPLIES	69,529.71
MINOR EQUIPMENT	12,094.83
PURCHASED SERVICES	4,288.10</v>
          </cell>
          <cell r="EH48"/>
          <cell r="EI48">
            <v>15706017</v>
          </cell>
          <cell r="EJ48">
            <v>6266793</v>
          </cell>
          <cell r="EK48">
            <v>274066</v>
          </cell>
          <cell r="EL48">
            <v>3072725</v>
          </cell>
          <cell r="EM48"/>
          <cell r="EN48"/>
          <cell r="EO48" t="str">
            <v>We billed a total of $2100 for  2024.</v>
          </cell>
          <cell r="EP48"/>
          <cell r="EQ48"/>
          <cell r="ER48"/>
          <cell r="ES48"/>
          <cell r="ET48"/>
          <cell r="EU48"/>
          <cell r="EV48"/>
          <cell r="EW48"/>
          <cell r="EX48"/>
          <cell r="EY48"/>
          <cell r="EZ48"/>
          <cell r="FA48"/>
          <cell r="FB48"/>
          <cell r="FC48"/>
          <cell r="FD48" t="str">
            <v>web-form@smartsheet.com</v>
          </cell>
          <cell r="FE48">
            <v>45713.484498321763</v>
          </cell>
          <cell r="FF48" t="str">
            <v>web-form@smartsheet.com</v>
          </cell>
          <cell r="FG48">
            <v>45713.484498321763</v>
          </cell>
        </row>
        <row r="49">
          <cell r="B49" t="str">
            <v>DEVENIR SUPPORTS</v>
          </cell>
          <cell r="C49">
            <v>5300807802</v>
          </cell>
          <cell r="D49" t="str">
            <v>Audra Kujaczynski</v>
          </cell>
          <cell r="E49" t="str">
            <v>logan@deveniteam.com</v>
          </cell>
          <cell r="F49" t="str">
            <v>+1 (385) 206-9871</v>
          </cell>
          <cell r="G49" t="str">
            <v>H0038	Personal Budget Assistance; per 15 minutes
H0045	Respite Care – Overnight, Out of Home, Room &amp; Board included or Respite Care Services – LTC facility; per diem
S5102	Adult Day Care (Adult Day Health) or Adult day health services; per diem
S5130	Homemaker services; per 15 minutes</v>
          </cell>
          <cell r="I49"/>
          <cell r="L49" t="str">
            <v>Yes</v>
          </cell>
          <cell r="M49">
            <v>1</v>
          </cell>
          <cell r="N49">
            <v>306</v>
          </cell>
          <cell r="P49"/>
          <cell r="Q49"/>
          <cell r="R49"/>
          <cell r="S49"/>
          <cell r="T49"/>
          <cell r="U49"/>
          <cell r="V49"/>
          <cell r="W49"/>
          <cell r="X49"/>
          <cell r="Y49"/>
          <cell r="Z49"/>
          <cell r="AA49"/>
          <cell r="AB49" t="str">
            <v>Yes</v>
          </cell>
          <cell r="AC49">
            <v>1</v>
          </cell>
          <cell r="AD49">
            <v>201</v>
          </cell>
          <cell r="AE49">
            <v>20</v>
          </cell>
          <cell r="AF49" t="str">
            <v>Yes</v>
          </cell>
          <cell r="AG49">
            <v>1</v>
          </cell>
          <cell r="AH49">
            <v>31269</v>
          </cell>
          <cell r="AI49">
            <v>6</v>
          </cell>
          <cell r="AJ49"/>
          <cell r="AK49"/>
          <cell r="AL49"/>
          <cell r="AM49" t="str">
            <v>Yes</v>
          </cell>
          <cell r="AN49">
            <v>1</v>
          </cell>
          <cell r="AO49">
            <v>10644</v>
          </cell>
          <cell r="AP49"/>
          <cell r="AQ49"/>
          <cell r="AR49"/>
          <cell r="AS49"/>
          <cell r="AT49"/>
          <cell r="AU49"/>
          <cell r="AV49"/>
          <cell r="AW49"/>
          <cell r="AX49"/>
          <cell r="AY49"/>
          <cell r="AZ49"/>
          <cell r="BA49"/>
          <cell r="BB49"/>
          <cell r="BC49"/>
          <cell r="BD49"/>
          <cell r="BE49"/>
          <cell r="BF49"/>
          <cell r="BG49"/>
          <cell r="BH49"/>
          <cell r="BI49"/>
          <cell r="BJ49"/>
          <cell r="BK49"/>
          <cell r="BL49"/>
          <cell r="BM49"/>
          <cell r="BN49"/>
          <cell r="BO49"/>
          <cell r="BP49"/>
          <cell r="BQ49"/>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cell r="DG49"/>
          <cell r="DH49"/>
          <cell r="DI49"/>
          <cell r="DJ49"/>
          <cell r="DK49"/>
          <cell r="DL49"/>
          <cell r="DM49"/>
          <cell r="DN49"/>
          <cell r="DO49"/>
          <cell r="DP49"/>
          <cell r="DQ49"/>
          <cell r="DR49"/>
          <cell r="DS49"/>
          <cell r="DT49"/>
          <cell r="DU49"/>
          <cell r="DV49"/>
          <cell r="DW49"/>
          <cell r="DX49"/>
          <cell r="DY49"/>
          <cell r="DZ49">
            <v>775224.63</v>
          </cell>
          <cell r="EA49">
            <v>33598</v>
          </cell>
          <cell r="EB49">
            <v>344161.93</v>
          </cell>
          <cell r="EC49">
            <v>18209</v>
          </cell>
          <cell r="ED49">
            <v>167189.4</v>
          </cell>
          <cell r="EE49">
            <v>46188.6</v>
          </cell>
          <cell r="EF49">
            <v>32908.06</v>
          </cell>
          <cell r="EG49"/>
          <cell r="EH49"/>
          <cell r="EI49">
            <v>1765627.7</v>
          </cell>
          <cell r="EJ49">
            <v>1305990.4300000002</v>
          </cell>
          <cell r="EK49">
            <v>172840.84</v>
          </cell>
          <cell r="EL49">
            <v>167012.36999999965</v>
          </cell>
          <cell r="EM49"/>
          <cell r="EN49"/>
          <cell r="EO49"/>
          <cell r="EP49"/>
          <cell r="EQ49"/>
          <cell r="ER49"/>
          <cell r="ES49"/>
          <cell r="ET49"/>
          <cell r="EU49"/>
          <cell r="EV49"/>
          <cell r="EW49"/>
          <cell r="EX49"/>
          <cell r="EY49"/>
          <cell r="EZ49"/>
          <cell r="FA49"/>
          <cell r="FB49"/>
          <cell r="FC49"/>
          <cell r="FD49" t="str">
            <v>web-form@smartsheet.com</v>
          </cell>
          <cell r="FE49">
            <v>45713.579031111112</v>
          </cell>
          <cell r="FF49" t="str">
            <v>web-form@smartsheet.com</v>
          </cell>
          <cell r="FG49">
            <v>45713.579031111112</v>
          </cell>
        </row>
        <row r="50">
          <cell r="B50" t="str">
            <v>OUR HOUSE OF TOOELE</v>
          </cell>
          <cell r="C50">
            <v>4021370</v>
          </cell>
          <cell r="D50" t="str">
            <v>Janene Allred</v>
          </cell>
          <cell r="E50" t="str">
            <v>Janene@salmg.com</v>
          </cell>
          <cell r="F50" t="str">
            <v>+1 (435) 753-7297</v>
          </cell>
          <cell r="G50" t="str">
            <v>T2031	Adult Residential Services (Assisted Living Facilities Level I, Level II, &amp; Type N Facilities); per diem</v>
          </cell>
          <cell r="I50"/>
          <cell r="M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cell r="BG50"/>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cell r="CV50"/>
          <cell r="CW50" t="str">
            <v>Yes</v>
          </cell>
          <cell r="CX50">
            <v>0.1</v>
          </cell>
          <cell r="CY50">
            <v>0</v>
          </cell>
          <cell r="CZ50">
            <v>0</v>
          </cell>
          <cell r="DA50">
            <v>6823.68</v>
          </cell>
          <cell r="DB50">
            <v>60792.81</v>
          </cell>
          <cell r="DC50">
            <v>89531.59</v>
          </cell>
          <cell r="DD50">
            <v>3274.18</v>
          </cell>
          <cell r="DE50">
            <v>163039.21</v>
          </cell>
          <cell r="DF50">
            <v>84</v>
          </cell>
          <cell r="DG50">
            <v>19338.349999999999</v>
          </cell>
          <cell r="DH50">
            <v>1933.84</v>
          </cell>
          <cell r="DI50"/>
          <cell r="DJ50"/>
          <cell r="DK50"/>
          <cell r="DL50"/>
          <cell r="DM50"/>
          <cell r="DN50"/>
          <cell r="DO50"/>
          <cell r="DP50"/>
          <cell r="DQ50"/>
          <cell r="DR50"/>
          <cell r="DS50"/>
          <cell r="DT50"/>
          <cell r="DU50"/>
          <cell r="DV50"/>
          <cell r="DW50"/>
          <cell r="DX50"/>
          <cell r="DY50"/>
          <cell r="DZ50">
            <v>386486.4</v>
          </cell>
          <cell r="EA50">
            <v>20350.39</v>
          </cell>
          <cell r="EB50">
            <v>82125</v>
          </cell>
          <cell r="EC50">
            <v>2166.75</v>
          </cell>
          <cell r="ED50">
            <v>0</v>
          </cell>
          <cell r="EE50">
            <v>0</v>
          </cell>
          <cell r="EF50">
            <v>8576.81</v>
          </cell>
          <cell r="EG50" t="str">
            <v>Activity and Health Service supplies</v>
          </cell>
          <cell r="EH50"/>
          <cell r="EI50">
            <v>2161154.37</v>
          </cell>
          <cell r="EJ50">
            <v>1058623.95</v>
          </cell>
          <cell r="EK50">
            <v>108762.27</v>
          </cell>
          <cell r="EL50">
            <v>460881.42</v>
          </cell>
          <cell r="EM50"/>
          <cell r="EN50"/>
          <cell r="EO50"/>
          <cell r="EP50"/>
          <cell r="EQ50"/>
          <cell r="ER50"/>
          <cell r="ES50"/>
          <cell r="ET50"/>
          <cell r="EU50"/>
          <cell r="EV50"/>
          <cell r="EW50"/>
          <cell r="EX50"/>
          <cell r="EY50"/>
          <cell r="EZ50"/>
          <cell r="FA50"/>
          <cell r="FB50"/>
          <cell r="FC50"/>
          <cell r="FD50" t="str">
            <v>web-form@smartsheet.com</v>
          </cell>
          <cell r="FE50">
            <v>45713.584394201389</v>
          </cell>
          <cell r="FF50" t="str">
            <v>web-form@smartsheet.com</v>
          </cell>
          <cell r="FG50">
            <v>45713.584394201389</v>
          </cell>
        </row>
        <row r="51">
          <cell r="B51" t="str">
            <v>BIRCH CREEK ASSISTED LIVING</v>
          </cell>
          <cell r="C51">
            <v>611913332</v>
          </cell>
          <cell r="D51" t="str">
            <v>Daniel Pugmire</v>
          </cell>
          <cell r="E51" t="str">
            <v>daniel@salmg.com</v>
          </cell>
          <cell r="F51" t="str">
            <v>+1 (435) 753-7297</v>
          </cell>
          <cell r="G51" t="str">
            <v>T2016	Adult Residential Services – (Licensed Assisted Living Facility, Memory Care Unit); per diem
T2031	Adult Residential Services (Assisted Living Facilities Level I, Level II, &amp; Type N Facilities); per diem</v>
          </cell>
          <cell r="I51"/>
          <cell r="M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cell r="BG51"/>
          <cell r="BH51"/>
          <cell r="BI51"/>
          <cell r="BJ51"/>
          <cell r="BK51"/>
          <cell r="BL51"/>
          <cell r="BM51"/>
          <cell r="BN51"/>
          <cell r="BO51"/>
          <cell r="BP51"/>
          <cell r="BQ51"/>
          <cell r="BR51"/>
          <cell r="BS51"/>
          <cell r="BT51"/>
          <cell r="BU51"/>
          <cell r="BV51"/>
          <cell r="BW51" t="str">
            <v>Yes</v>
          </cell>
          <cell r="BX51">
            <v>7.0000000000000007E-2</v>
          </cell>
          <cell r="BY51">
            <v>0</v>
          </cell>
          <cell r="BZ51">
            <v>0</v>
          </cell>
          <cell r="CA51">
            <v>0</v>
          </cell>
          <cell r="CB51">
            <v>13659.22</v>
          </cell>
          <cell r="CC51">
            <v>80789.88</v>
          </cell>
          <cell r="CD51">
            <v>1783.13</v>
          </cell>
          <cell r="CE51">
            <v>107070.47</v>
          </cell>
          <cell r="CF51">
            <v>72</v>
          </cell>
          <cell r="CG51">
            <v>11151</v>
          </cell>
          <cell r="CH51">
            <v>797</v>
          </cell>
          <cell r="CI51" t="str">
            <v>N/A</v>
          </cell>
          <cell r="CJ51"/>
          <cell r="CK51"/>
          <cell r="CL51"/>
          <cell r="CM51"/>
          <cell r="CN51"/>
          <cell r="CO51"/>
          <cell r="CP51"/>
          <cell r="CQ51"/>
          <cell r="CR51"/>
          <cell r="CS51"/>
          <cell r="CT51"/>
          <cell r="CU51"/>
          <cell r="CV51"/>
          <cell r="CW51" t="str">
            <v>Yes</v>
          </cell>
          <cell r="CX51">
            <v>0.06</v>
          </cell>
          <cell r="CY51">
            <v>0</v>
          </cell>
          <cell r="CZ51">
            <v>0</v>
          </cell>
          <cell r="DA51">
            <v>0</v>
          </cell>
          <cell r="DB51">
            <v>3902.64</v>
          </cell>
          <cell r="DC51">
            <v>23082.82</v>
          </cell>
          <cell r="DD51">
            <v>509.47</v>
          </cell>
          <cell r="DE51">
            <v>30591.56</v>
          </cell>
          <cell r="DF51">
            <v>16</v>
          </cell>
          <cell r="DG51">
            <v>3186</v>
          </cell>
          <cell r="DH51">
            <v>199</v>
          </cell>
          <cell r="DI51" t="str">
            <v>N/A</v>
          </cell>
          <cell r="DJ51"/>
          <cell r="DK51"/>
          <cell r="DL51"/>
          <cell r="DM51"/>
          <cell r="DN51"/>
          <cell r="DO51"/>
          <cell r="DP51"/>
          <cell r="DQ51"/>
          <cell r="DR51"/>
          <cell r="DS51"/>
          <cell r="DT51"/>
          <cell r="DU51"/>
          <cell r="DV51"/>
          <cell r="DW51"/>
          <cell r="DX51"/>
          <cell r="DY51"/>
          <cell r="DZ51">
            <v>553465.92000000004</v>
          </cell>
          <cell r="EA51">
            <v>26995</v>
          </cell>
          <cell r="EB51">
            <v>62844.53</v>
          </cell>
          <cell r="EC51">
            <v>1416</v>
          </cell>
          <cell r="ED51">
            <v>0</v>
          </cell>
          <cell r="EE51">
            <v>0</v>
          </cell>
          <cell r="EF51">
            <v>0</v>
          </cell>
          <cell r="EG51" t="str">
            <v>N/A</v>
          </cell>
          <cell r="EH51" t="str">
            <v>N/A</v>
          </cell>
          <cell r="EI51">
            <v>1801334.06</v>
          </cell>
          <cell r="EJ51">
            <v>1090516.55</v>
          </cell>
          <cell r="EK51">
            <v>80183.69</v>
          </cell>
          <cell r="EL51">
            <v>410435.56</v>
          </cell>
          <cell r="EM51"/>
          <cell r="EN51"/>
          <cell r="EO51"/>
          <cell r="EP51"/>
          <cell r="EQ51"/>
          <cell r="ER51"/>
          <cell r="ES51"/>
          <cell r="ET51"/>
          <cell r="EU51"/>
          <cell r="EV51"/>
          <cell r="EW51"/>
          <cell r="EX51"/>
          <cell r="EY51"/>
          <cell r="EZ51"/>
          <cell r="FA51"/>
          <cell r="FB51"/>
          <cell r="FC51"/>
          <cell r="FD51" t="str">
            <v>web-form@smartsheet.com</v>
          </cell>
          <cell r="FE51">
            <v>45713.585700000003</v>
          </cell>
          <cell r="FF51" t="str">
            <v>web-form@smartsheet.com</v>
          </cell>
          <cell r="FG51">
            <v>45713.585700000003</v>
          </cell>
        </row>
        <row r="52">
          <cell r="B52" t="str">
            <v>TRADITION ASSISTED LIVING</v>
          </cell>
          <cell r="C52">
            <v>3003073</v>
          </cell>
          <cell r="D52" t="str">
            <v>Janene Allred</v>
          </cell>
          <cell r="E52" t="str">
            <v>Janene@salmg.com</v>
          </cell>
          <cell r="F52" t="str">
            <v>+1 (435) 753-7297</v>
          </cell>
          <cell r="G52" t="str">
            <v>T2031	Adult Residential Services (Assisted Living Facilities Level I, Level II, &amp; Type N Facilities); per diem</v>
          </cell>
          <cell r="I52"/>
          <cell r="M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cell r="BE52"/>
          <cell r="BF52"/>
          <cell r="BG52"/>
          <cell r="BH52"/>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t="str">
            <v>Yes</v>
          </cell>
          <cell r="CX52">
            <v>1</v>
          </cell>
          <cell r="CY52">
            <v>0</v>
          </cell>
          <cell r="CZ52">
            <v>0</v>
          </cell>
          <cell r="DA52">
            <v>0</v>
          </cell>
          <cell r="DB52">
            <v>0</v>
          </cell>
          <cell r="DC52">
            <v>118135.67</v>
          </cell>
          <cell r="DD52">
            <v>6861.69</v>
          </cell>
          <cell r="DE52">
            <v>134640.57</v>
          </cell>
          <cell r="DF52">
            <v>72</v>
          </cell>
          <cell r="DG52">
            <v>19607</v>
          </cell>
          <cell r="DH52">
            <v>19607</v>
          </cell>
          <cell r="DI52"/>
          <cell r="DJ52"/>
          <cell r="DK52"/>
          <cell r="DL52"/>
          <cell r="DM52"/>
          <cell r="DN52"/>
          <cell r="DO52"/>
          <cell r="DP52"/>
          <cell r="DQ52"/>
          <cell r="DR52"/>
          <cell r="DS52"/>
          <cell r="DT52"/>
          <cell r="DU52"/>
          <cell r="DV52"/>
          <cell r="DW52"/>
          <cell r="DX52"/>
          <cell r="DY52"/>
          <cell r="DZ52">
            <v>454064.33</v>
          </cell>
          <cell r="EA52">
            <v>19513.7</v>
          </cell>
          <cell r="EB52">
            <v>65369.96</v>
          </cell>
          <cell r="EC52">
            <v>2082.75</v>
          </cell>
          <cell r="ED52">
            <v>0</v>
          </cell>
          <cell r="EE52">
            <v>0</v>
          </cell>
          <cell r="EF52">
            <v>10533.18</v>
          </cell>
          <cell r="EG52" t="str">
            <v>Activity &amp; Health Service Supplies</v>
          </cell>
          <cell r="EH52"/>
          <cell r="EI52">
            <v>1544894.28</v>
          </cell>
          <cell r="EJ52">
            <v>871224.8</v>
          </cell>
          <cell r="EK52">
            <v>86668.5</v>
          </cell>
          <cell r="EL52">
            <v>268802.84000000003</v>
          </cell>
          <cell r="EM52"/>
          <cell r="EN52"/>
          <cell r="EO52"/>
          <cell r="EP52"/>
          <cell r="EQ52"/>
          <cell r="ER52"/>
          <cell r="ES52"/>
          <cell r="ET52"/>
          <cell r="EU52"/>
          <cell r="EV52"/>
          <cell r="EW52"/>
          <cell r="EX52"/>
          <cell r="EY52"/>
          <cell r="EZ52"/>
          <cell r="FA52"/>
          <cell r="FB52"/>
          <cell r="FC52"/>
          <cell r="FD52" t="str">
            <v>web-form@smartsheet.com</v>
          </cell>
          <cell r="FE52">
            <v>45713.59533984954</v>
          </cell>
          <cell r="FF52" t="str">
            <v>web-form@smartsheet.com</v>
          </cell>
          <cell r="FG52">
            <v>45713.59533984954</v>
          </cell>
        </row>
        <row r="53">
          <cell r="B53" t="str">
            <v>BLACKSMITH FORK ASSISTED LIVING</v>
          </cell>
          <cell r="C53">
            <v>384042649</v>
          </cell>
          <cell r="D53" t="str">
            <v>Daniel Pugmire</v>
          </cell>
          <cell r="E53" t="str">
            <v>daniel@salmg.com</v>
          </cell>
          <cell r="F53" t="str">
            <v>+1 (435) 753-7297</v>
          </cell>
          <cell r="G53" t="str">
            <v>T2016	Adult Residential Services – (Licensed Assisted Living Facility, Memory Care Unit); per diem</v>
          </cell>
          <cell r="I53"/>
          <cell r="M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cell r="BE53"/>
          <cell r="BF53"/>
          <cell r="BG53"/>
          <cell r="BH53"/>
          <cell r="BI53"/>
          <cell r="BJ53"/>
          <cell r="BK53"/>
          <cell r="BL53"/>
          <cell r="BM53"/>
          <cell r="BN53"/>
          <cell r="BO53"/>
          <cell r="BP53"/>
          <cell r="BQ53"/>
          <cell r="BR53"/>
          <cell r="BS53"/>
          <cell r="BT53"/>
          <cell r="BU53"/>
          <cell r="BV53"/>
          <cell r="BW53" t="str">
            <v>Yes</v>
          </cell>
          <cell r="BX53">
            <v>0.21</v>
          </cell>
          <cell r="BY53">
            <v>0</v>
          </cell>
          <cell r="BZ53">
            <v>0</v>
          </cell>
          <cell r="CA53">
            <v>24000</v>
          </cell>
          <cell r="CB53">
            <v>12595.16</v>
          </cell>
          <cell r="CC53">
            <v>81136.34</v>
          </cell>
          <cell r="CD53">
            <v>3115.06</v>
          </cell>
          <cell r="CE53">
            <v>85096.34</v>
          </cell>
          <cell r="CF53">
            <v>45</v>
          </cell>
          <cell r="CG53">
            <v>11496</v>
          </cell>
          <cell r="CH53">
            <v>2414</v>
          </cell>
          <cell r="CI53" t="str">
            <v>N/A</v>
          </cell>
          <cell r="CJ53"/>
          <cell r="CK53"/>
          <cell r="CL53"/>
          <cell r="CM53"/>
          <cell r="CN53"/>
          <cell r="CO53"/>
          <cell r="CP53"/>
          <cell r="CQ53"/>
          <cell r="CR53"/>
          <cell r="CS53"/>
          <cell r="CT53"/>
          <cell r="CU53"/>
          <cell r="CV53"/>
          <cell r="CW53"/>
          <cell r="CX53"/>
          <cell r="CY53"/>
          <cell r="CZ53"/>
          <cell r="DA53"/>
          <cell r="DB53"/>
          <cell r="DC53"/>
          <cell r="DD53"/>
          <cell r="DE53"/>
          <cell r="DF53"/>
          <cell r="DG53"/>
          <cell r="DH53"/>
          <cell r="DI53"/>
          <cell r="DJ53"/>
          <cell r="DK53"/>
          <cell r="DL53"/>
          <cell r="DM53"/>
          <cell r="DN53"/>
          <cell r="DO53"/>
          <cell r="DP53"/>
          <cell r="DQ53"/>
          <cell r="DR53"/>
          <cell r="DS53"/>
          <cell r="DT53"/>
          <cell r="DU53"/>
          <cell r="DV53"/>
          <cell r="DW53"/>
          <cell r="DX53"/>
          <cell r="DY53"/>
          <cell r="DZ53">
            <v>279399.21999999997</v>
          </cell>
          <cell r="EA53">
            <v>8480</v>
          </cell>
          <cell r="EB53">
            <v>57088.66</v>
          </cell>
          <cell r="EC53">
            <v>1442.58</v>
          </cell>
          <cell r="ED53">
            <v>0</v>
          </cell>
          <cell r="EE53">
            <v>0</v>
          </cell>
          <cell r="EF53">
            <v>0</v>
          </cell>
          <cell r="EG53" t="str">
            <v>N/A</v>
          </cell>
          <cell r="EH53" t="str">
            <v>N/A</v>
          </cell>
          <cell r="EI53">
            <v>1126399.1599999999</v>
          </cell>
          <cell r="EJ53">
            <v>633450.38</v>
          </cell>
          <cell r="EK53">
            <v>63940.180000000008</v>
          </cell>
          <cell r="EL53">
            <v>329274.64</v>
          </cell>
          <cell r="EM53"/>
          <cell r="EN53"/>
          <cell r="EO53"/>
          <cell r="EP53"/>
          <cell r="EQ53"/>
          <cell r="ER53"/>
          <cell r="ES53"/>
          <cell r="ET53"/>
          <cell r="EU53"/>
          <cell r="EV53"/>
          <cell r="EW53"/>
          <cell r="EX53"/>
          <cell r="EY53"/>
          <cell r="EZ53"/>
          <cell r="FA53"/>
          <cell r="FB53"/>
          <cell r="FC53"/>
          <cell r="FD53" t="str">
            <v>web-form@smartsheet.com</v>
          </cell>
          <cell r="FE53">
            <v>45713.605662407404</v>
          </cell>
          <cell r="FF53" t="str">
            <v>web-form@smartsheet.com</v>
          </cell>
          <cell r="FG53">
            <v>45713.605662407404</v>
          </cell>
        </row>
        <row r="54">
          <cell r="B54" t="str">
            <v>WILLIAMSBURG RETIREMENT COMMUNITY</v>
          </cell>
          <cell r="C54">
            <v>4249086</v>
          </cell>
          <cell r="D54" t="str">
            <v>Janene Allred</v>
          </cell>
          <cell r="E54" t="str">
            <v>Janene@salmg.com</v>
          </cell>
          <cell r="F54" t="str">
            <v>+1 (435) 753-7297</v>
          </cell>
          <cell r="G54" t="str">
            <v>H0043	Adult Residential Services – Certified Independent Living Facility; per diem</v>
          </cell>
          <cell r="I54"/>
          <cell r="M54"/>
          <cell r="P54" t="str">
            <v>Yes</v>
          </cell>
          <cell r="Q54">
            <v>0.16</v>
          </cell>
          <cell r="R54">
            <v>0</v>
          </cell>
          <cell r="S54">
            <v>0</v>
          </cell>
          <cell r="T54">
            <v>22802.880000000001</v>
          </cell>
          <cell r="U54">
            <v>47290.37</v>
          </cell>
          <cell r="V54">
            <v>148538.54</v>
          </cell>
          <cell r="W54">
            <v>11898.85</v>
          </cell>
          <cell r="X54">
            <v>186073.05</v>
          </cell>
          <cell r="Y54">
            <v>83</v>
          </cell>
          <cell r="Z54">
            <v>23394</v>
          </cell>
          <cell r="AA54">
            <v>3743.04</v>
          </cell>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B54"/>
          <cell r="DC54"/>
          <cell r="DD54"/>
          <cell r="DE54"/>
          <cell r="DF54"/>
          <cell r="DG54"/>
          <cell r="DH54"/>
          <cell r="DI54"/>
          <cell r="DJ54"/>
          <cell r="DK54"/>
          <cell r="DL54"/>
          <cell r="DM54"/>
          <cell r="DN54"/>
          <cell r="DO54"/>
          <cell r="DP54"/>
          <cell r="DQ54"/>
          <cell r="DR54"/>
          <cell r="DS54"/>
          <cell r="DT54"/>
          <cell r="DU54"/>
          <cell r="DV54"/>
          <cell r="DW54"/>
          <cell r="DX54"/>
          <cell r="DY54"/>
          <cell r="DZ54">
            <v>3683.52</v>
          </cell>
          <cell r="EA54">
            <v>30.75</v>
          </cell>
          <cell r="EB54">
            <v>54083.25</v>
          </cell>
          <cell r="EC54">
            <v>2121.75</v>
          </cell>
          <cell r="ED54">
            <v>0</v>
          </cell>
          <cell r="EE54">
            <v>0</v>
          </cell>
          <cell r="EF54">
            <v>561.29999999999995</v>
          </cell>
          <cell r="EG54" t="str">
            <v>Activity and Health Service Supplies</v>
          </cell>
          <cell r="EH54"/>
          <cell r="EI54">
            <v>1277343.49</v>
          </cell>
          <cell r="EJ54">
            <v>516384.08</v>
          </cell>
          <cell r="EK54">
            <v>43259.4</v>
          </cell>
          <cell r="EL54">
            <v>244941.61</v>
          </cell>
          <cell r="EM54"/>
          <cell r="EN54"/>
          <cell r="EO54"/>
          <cell r="EP54"/>
          <cell r="EQ54"/>
          <cell r="ER54"/>
          <cell r="ES54"/>
          <cell r="ET54"/>
          <cell r="EU54"/>
          <cell r="EV54"/>
          <cell r="EW54"/>
          <cell r="EX54"/>
          <cell r="EY54"/>
          <cell r="EZ54"/>
          <cell r="FA54"/>
          <cell r="FB54"/>
          <cell r="FC54"/>
          <cell r="FD54" t="str">
            <v>web-form@smartsheet.com</v>
          </cell>
          <cell r="FE54">
            <v>45713.614068923613</v>
          </cell>
          <cell r="FF54" t="str">
            <v>web-form@smartsheet.com</v>
          </cell>
          <cell r="FG54">
            <v>45713.614068923613</v>
          </cell>
        </row>
        <row r="55">
          <cell r="B55" t="str">
            <v>CACHE VALLEY ASSISTED LIV</v>
          </cell>
          <cell r="C55">
            <v>810720916</v>
          </cell>
          <cell r="D55" t="str">
            <v>Daniel Pugmire</v>
          </cell>
          <cell r="E55" t="str">
            <v>daniel@salmg.com</v>
          </cell>
          <cell r="F55" t="str">
            <v>+1 (435) 753-7297</v>
          </cell>
          <cell r="G55" t="str">
            <v>T2016	Adult Residential Services – (Licensed Assisted Living Facility, Memory Care Unit); per diem
T2031	Adult Residential Services (Assisted Living Facilities Level I, Level II, &amp; Type N Facilities); per diem</v>
          </cell>
          <cell r="I55"/>
          <cell r="M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cell r="BE55"/>
          <cell r="BF55"/>
          <cell r="BG55"/>
          <cell r="BH55"/>
          <cell r="BI55"/>
          <cell r="BJ55"/>
          <cell r="BK55"/>
          <cell r="BL55"/>
          <cell r="BM55"/>
          <cell r="BN55"/>
          <cell r="BO55"/>
          <cell r="BP55"/>
          <cell r="BQ55"/>
          <cell r="BR55"/>
          <cell r="BS55"/>
          <cell r="BT55"/>
          <cell r="BU55"/>
          <cell r="BV55"/>
          <cell r="BW55" t="str">
            <v>Yes</v>
          </cell>
          <cell r="BX55">
            <v>0.06</v>
          </cell>
          <cell r="BY55">
            <v>0</v>
          </cell>
          <cell r="BZ55">
            <v>0</v>
          </cell>
          <cell r="CA55">
            <v>0</v>
          </cell>
          <cell r="CB55">
            <v>0</v>
          </cell>
          <cell r="CC55">
            <v>20892.18</v>
          </cell>
          <cell r="CD55">
            <v>4237.95</v>
          </cell>
          <cell r="CE55">
            <v>24237.74</v>
          </cell>
          <cell r="CF55">
            <v>16</v>
          </cell>
          <cell r="CG55">
            <v>3179</v>
          </cell>
          <cell r="CH55">
            <v>199</v>
          </cell>
          <cell r="CI55" t="str">
            <v>N/A</v>
          </cell>
          <cell r="CJ55"/>
          <cell r="CK55"/>
          <cell r="CL55"/>
          <cell r="CM55"/>
          <cell r="CN55"/>
          <cell r="CO55"/>
          <cell r="CP55"/>
          <cell r="CQ55"/>
          <cell r="CR55"/>
          <cell r="CS55"/>
          <cell r="CT55"/>
          <cell r="CU55"/>
          <cell r="CV55"/>
          <cell r="CW55" t="str">
            <v>Yes</v>
          </cell>
          <cell r="CX55">
            <v>0.17</v>
          </cell>
          <cell r="CY55">
            <v>0</v>
          </cell>
          <cell r="CZ55">
            <v>0</v>
          </cell>
          <cell r="DA55">
            <v>0</v>
          </cell>
          <cell r="DB55">
            <v>0</v>
          </cell>
          <cell r="DC55">
            <v>70511.09</v>
          </cell>
          <cell r="DD55">
            <v>14303.09</v>
          </cell>
          <cell r="DE55">
            <v>81802.37</v>
          </cell>
          <cell r="DF55">
            <v>54</v>
          </cell>
          <cell r="DG55">
            <v>10728</v>
          </cell>
          <cell r="DH55">
            <v>1788</v>
          </cell>
          <cell r="DI55" t="str">
            <v>N/A</v>
          </cell>
          <cell r="DJ55"/>
          <cell r="DK55"/>
          <cell r="DL55"/>
          <cell r="DM55"/>
          <cell r="DN55"/>
          <cell r="DO55"/>
          <cell r="DP55"/>
          <cell r="DQ55"/>
          <cell r="DR55"/>
          <cell r="DS55"/>
          <cell r="DT55"/>
          <cell r="DU55"/>
          <cell r="DV55"/>
          <cell r="DW55"/>
          <cell r="DX55"/>
          <cell r="DY55"/>
          <cell r="DZ55">
            <v>399559.52</v>
          </cell>
          <cell r="EA55">
            <v>12845</v>
          </cell>
          <cell r="EB55">
            <v>58341.62</v>
          </cell>
          <cell r="EC55">
            <v>1560</v>
          </cell>
          <cell r="ED55">
            <v>0</v>
          </cell>
          <cell r="EE55">
            <v>0</v>
          </cell>
          <cell r="EF55">
            <v>0</v>
          </cell>
          <cell r="EG55" t="str">
            <v>N/A</v>
          </cell>
          <cell r="EH55" t="str">
            <v>N/A</v>
          </cell>
          <cell r="EI55">
            <v>1330313.27</v>
          </cell>
          <cell r="EJ55">
            <v>741409.57</v>
          </cell>
          <cell r="EK55">
            <v>69672.44</v>
          </cell>
          <cell r="EL55">
            <v>330337.05</v>
          </cell>
          <cell r="EM55"/>
          <cell r="EN55"/>
          <cell r="EO55"/>
          <cell r="EP55"/>
          <cell r="EQ55"/>
          <cell r="ER55"/>
          <cell r="ES55"/>
          <cell r="ET55"/>
          <cell r="EU55"/>
          <cell r="EV55"/>
          <cell r="EW55"/>
          <cell r="EX55"/>
          <cell r="EY55"/>
          <cell r="EZ55"/>
          <cell r="FA55"/>
          <cell r="FB55"/>
          <cell r="FC55"/>
          <cell r="FD55" t="str">
            <v>web-form@smartsheet.com</v>
          </cell>
          <cell r="FE55">
            <v>45713.631771250002</v>
          </cell>
          <cell r="FF55" t="str">
            <v>web-form@smartsheet.com</v>
          </cell>
          <cell r="FG55">
            <v>45713.631771250002</v>
          </cell>
        </row>
        <row r="56">
          <cell r="B56" t="str">
            <v>HELPERLY</v>
          </cell>
          <cell r="C56">
            <v>1205604535</v>
          </cell>
          <cell r="D56" t="str">
            <v>Caleb Richardson</v>
          </cell>
          <cell r="E56" t="str">
            <v>crichardson@helperly.com</v>
          </cell>
          <cell r="F56" t="str">
            <v>+1 (801) 915-0475</v>
          </cell>
          <cell r="G56" t="str">
            <v>S5125	Attendant Care Services or Personal attendant service, participant employed; per 15 minutes
S5130	Homemaker services; per 15 minutes
S5135	Companion care adult; per 15 minutes
S5150	Respite care services or Respite care services – Unskilled; per 15 minutes
T1019	Personal attendant service, agency-based; per 15 minutes
T2003	Non-medical transportation, one way trip</v>
          </cell>
          <cell r="I56"/>
          <cell r="M56"/>
          <cell r="P56"/>
          <cell r="Q56"/>
          <cell r="R56"/>
          <cell r="S56"/>
          <cell r="T56"/>
          <cell r="U56"/>
          <cell r="V56"/>
          <cell r="W56"/>
          <cell r="X56"/>
          <cell r="Y56"/>
          <cell r="Z56"/>
          <cell r="AA56"/>
          <cell r="AB56"/>
          <cell r="AC56"/>
          <cell r="AD56"/>
          <cell r="AE56"/>
          <cell r="AF56"/>
          <cell r="AG56"/>
          <cell r="AH56"/>
          <cell r="AI56"/>
          <cell r="AJ56" t="str">
            <v>Yes</v>
          </cell>
          <cell r="AK56">
            <v>1</v>
          </cell>
          <cell r="AL56">
            <v>100000</v>
          </cell>
          <cell r="AM56" t="str">
            <v>Yes</v>
          </cell>
          <cell r="AN56">
            <v>1</v>
          </cell>
          <cell r="AO56">
            <v>15000</v>
          </cell>
          <cell r="AP56" t="str">
            <v>Yes</v>
          </cell>
          <cell r="AQ56">
            <v>1</v>
          </cell>
          <cell r="AR56">
            <v>1500</v>
          </cell>
          <cell r="AS56" t="str">
            <v>Yes</v>
          </cell>
          <cell r="AT56">
            <v>1</v>
          </cell>
          <cell r="AU56">
            <v>1500</v>
          </cell>
          <cell r="AV56"/>
          <cell r="AW56"/>
          <cell r="AX56"/>
          <cell r="AY56"/>
          <cell r="AZ56"/>
          <cell r="BA56"/>
          <cell r="BB56"/>
          <cell r="BC56"/>
          <cell r="BD56"/>
          <cell r="BE56"/>
          <cell r="BF56"/>
          <cell r="BG56"/>
          <cell r="BH56" t="str">
            <v>Yes</v>
          </cell>
          <cell r="BI56">
            <v>1</v>
          </cell>
          <cell r="BJ56">
            <v>1500</v>
          </cell>
          <cell r="BK56"/>
          <cell r="BL56"/>
          <cell r="BM56"/>
          <cell r="BN56"/>
          <cell r="BO56"/>
          <cell r="BP56"/>
          <cell r="BQ56"/>
          <cell r="BR56" t="str">
            <v>Yes</v>
          </cell>
          <cell r="BS56">
            <v>1</v>
          </cell>
          <cell r="BT56">
            <v>2000</v>
          </cell>
          <cell r="BU56">
            <v>1</v>
          </cell>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cell r="CW56"/>
          <cell r="CX56"/>
          <cell r="CY56"/>
          <cell r="CZ56"/>
          <cell r="DA56"/>
          <cell r="DB56"/>
          <cell r="DC56"/>
          <cell r="DD56"/>
          <cell r="DE56"/>
          <cell r="DF56"/>
          <cell r="DG56"/>
          <cell r="DH56"/>
          <cell r="DI56"/>
          <cell r="DJ56"/>
          <cell r="DK56"/>
          <cell r="DL56"/>
          <cell r="DM56"/>
          <cell r="DN56"/>
          <cell r="DO56"/>
          <cell r="DP56"/>
          <cell r="DQ56"/>
          <cell r="DR56"/>
          <cell r="DS56"/>
          <cell r="DT56"/>
          <cell r="DU56"/>
          <cell r="DV56"/>
          <cell r="DW56"/>
          <cell r="DX56"/>
          <cell r="DY56"/>
          <cell r="DZ56">
            <v>550000</v>
          </cell>
          <cell r="EA56">
            <v>33333</v>
          </cell>
          <cell r="EB56">
            <v>500000</v>
          </cell>
          <cell r="EC56">
            <v>16666</v>
          </cell>
          <cell r="ED56">
            <v>0</v>
          </cell>
          <cell r="EE56">
            <v>6000</v>
          </cell>
          <cell r="EF56">
            <v>65000</v>
          </cell>
          <cell r="EG56" t="str">
            <v>Non-wage expenses include things like:
- EVV Software solution
- Direct Staff background checks
- HRIS software solution 
- CRM Software solution 
- Office Rent and utilities 
- Training</v>
          </cell>
          <cell r="EH56"/>
          <cell r="EI56">
            <v>90860</v>
          </cell>
          <cell r="EJ56">
            <v>893800</v>
          </cell>
          <cell r="EK56">
            <v>0</v>
          </cell>
          <cell r="EL56">
            <v>0</v>
          </cell>
          <cell r="EM56"/>
          <cell r="EN56"/>
          <cell r="EO56"/>
          <cell r="EP56"/>
          <cell r="EQ56" t="str">
            <v>We primarily bill S5125 under the NCW program. The 100,000 units is an estimate. While $7.50 per unit is an improvement from a few years ago, it still is difficult to adequately staff with all of the other costs associated. We can hire caregivers, but their backend support is limited because there isn't a lot of extra margins to go around to have exceptional administrative staff.</v>
          </cell>
          <cell r="ER56" t="str">
            <v>15,000 units is an estimate. This one is very difficult to accept clients. We turn away clients that only have S5130 because there is no margins, we actually lose money when taking into account all costs associated with care.</v>
          </cell>
          <cell r="ES56" t="str">
            <v>1500 is an estimate. We turn away everyone that only has S5135. It's just not feasible. We're losing multiple dollars per unit of care because reimbursement is so low.</v>
          </cell>
          <cell r="ET56" t="str">
            <v>1500 is an estimate. Very similar issue as S5125. While we are able to have some left over after direct care costs, there is not sufficient to have a full administrative support staff.</v>
          </cell>
          <cell r="EU56"/>
          <cell r="EV56"/>
          <cell r="EW56"/>
          <cell r="EX56" t="str">
            <v>1500 is an estimate. Very similar to S5130 - it's extremely difficult to staff. When we do staff for it there are only a few cents left over per unit completed, making the amount of units needed to support admin staff unfeasible.</v>
          </cell>
          <cell r="EY56"/>
          <cell r="EZ56"/>
          <cell r="FA56" t="str">
            <v>T2003 is often the saving grace for other services. Being able to have stops completed with clients who have the other CPT codes makes it even out costs, but barely.</v>
          </cell>
          <cell r="FB56"/>
          <cell r="FC56"/>
          <cell r="FD56" t="str">
            <v>web-form@smartsheet.com</v>
          </cell>
          <cell r="FE56">
            <v>45713.647584259263</v>
          </cell>
          <cell r="FF56" t="str">
            <v>web-form@smartsheet.com</v>
          </cell>
          <cell r="FG56">
            <v>45713.647584259263</v>
          </cell>
        </row>
        <row r="57">
          <cell r="B57" t="str">
            <v>TENNEY OHANA CARE</v>
          </cell>
          <cell r="C57" t="str">
            <v>04075</v>
          </cell>
          <cell r="D57" t="str">
            <v>Charity Tenney</v>
          </cell>
          <cell r="E57" t="str">
            <v>tenneyohanacare@gmail.com</v>
          </cell>
          <cell r="F57" t="str">
            <v>+1 (801) 400-7564</v>
          </cell>
          <cell r="G57" t="str">
            <v>T2033	Adult Residential Services – (Licensed Community Residential Care); per diem</v>
          </cell>
          <cell r="I57"/>
          <cell r="M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cell r="BE57"/>
          <cell r="BF57"/>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cell r="DG57"/>
          <cell r="DH57"/>
          <cell r="DI57"/>
          <cell r="DJ57" t="str">
            <v>Yes</v>
          </cell>
          <cell r="DK57">
            <v>1</v>
          </cell>
          <cell r="DL57"/>
          <cell r="DM57"/>
          <cell r="DN57"/>
          <cell r="DO57"/>
          <cell r="DP57"/>
          <cell r="DQ57"/>
          <cell r="DR57"/>
          <cell r="DS57"/>
          <cell r="DT57"/>
          <cell r="DU57"/>
          <cell r="DV57"/>
          <cell r="DW57"/>
          <cell r="DX57"/>
          <cell r="DY57"/>
          <cell r="DZ57">
            <v>15137.6</v>
          </cell>
          <cell r="EA57">
            <v>535</v>
          </cell>
          <cell r="EB57"/>
          <cell r="EC57"/>
          <cell r="ED57"/>
          <cell r="EE57"/>
          <cell r="EF57">
            <v>109.6</v>
          </cell>
          <cell r="EG57" t="str">
            <v>Snacks, training supplies</v>
          </cell>
          <cell r="EH57"/>
          <cell r="EI57">
            <v>31788.78</v>
          </cell>
          <cell r="EJ57">
            <v>15137.6</v>
          </cell>
          <cell r="EK57"/>
          <cell r="EL57">
            <v>2680.1</v>
          </cell>
          <cell r="EM57"/>
          <cell r="EN57"/>
          <cell r="EO57"/>
          <cell r="EP57"/>
          <cell r="EQ57"/>
          <cell r="ER57"/>
          <cell r="ES57"/>
          <cell r="ET57"/>
          <cell r="EU57"/>
          <cell r="EV57"/>
          <cell r="EW57"/>
          <cell r="EX57"/>
          <cell r="EY57"/>
          <cell r="EZ57"/>
          <cell r="FA57"/>
          <cell r="FB57"/>
          <cell r="FC57"/>
          <cell r="FD57" t="str">
            <v>web-form@smartsheet.com</v>
          </cell>
          <cell r="FE57">
            <v>45714.343442858793</v>
          </cell>
          <cell r="FF57" t="str">
            <v>web-form@smartsheet.com</v>
          </cell>
          <cell r="FG57">
            <v>45714.343442858793</v>
          </cell>
        </row>
        <row r="58">
          <cell r="B58" t="str">
            <v>SPRING GARDENS HEBER</v>
          </cell>
          <cell r="C58">
            <v>843707289</v>
          </cell>
          <cell r="D58" t="str">
            <v>Barbra Divis</v>
          </cell>
          <cell r="E58" t="str">
            <v>accounting@avistaseniorliving.com</v>
          </cell>
          <cell r="F58" t="str">
            <v>+1 (602) 476-7540</v>
          </cell>
          <cell r="G58" t="str">
            <v>T2031	Adult Residential Services (Assisted Living Facilities Level I, Level II, &amp; Type N Facilities); per diem</v>
          </cell>
          <cell r="I58"/>
          <cell r="M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cell r="BE58"/>
          <cell r="BF58"/>
          <cell r="BG58"/>
          <cell r="BH58"/>
          <cell r="BI58"/>
          <cell r="BJ58"/>
          <cell r="BK58"/>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cell r="CV58"/>
          <cell r="CW58" t="str">
            <v>Yes</v>
          </cell>
          <cell r="CX58">
            <v>0.01</v>
          </cell>
          <cell r="CY58">
            <v>1167575.04</v>
          </cell>
          <cell r="CZ58">
            <v>925995.47</v>
          </cell>
          <cell r="DA58">
            <v>109838.56</v>
          </cell>
          <cell r="DB58">
            <v>101169.83</v>
          </cell>
          <cell r="DC58">
            <v>168894.22</v>
          </cell>
          <cell r="DD58">
            <v>85178.4</v>
          </cell>
          <cell r="DE58">
            <v>280730.95</v>
          </cell>
          <cell r="DF58">
            <v>100</v>
          </cell>
          <cell r="DG58">
            <v>308877</v>
          </cell>
          <cell r="DH58">
            <v>410</v>
          </cell>
          <cell r="DI58"/>
          <cell r="DJ58"/>
          <cell r="DK58"/>
          <cell r="DL58"/>
          <cell r="DM58"/>
          <cell r="DN58"/>
          <cell r="DO58"/>
          <cell r="DP58"/>
          <cell r="DQ58"/>
          <cell r="DR58"/>
          <cell r="DS58"/>
          <cell r="DT58"/>
          <cell r="DU58"/>
          <cell r="DV58"/>
          <cell r="DW58"/>
          <cell r="DX58"/>
          <cell r="DY58"/>
          <cell r="DZ58">
            <v>997546.44</v>
          </cell>
          <cell r="EA58">
            <v>41196.269999999997</v>
          </cell>
          <cell r="EB58">
            <v>251356.98</v>
          </cell>
          <cell r="EC58">
            <v>4141.84</v>
          </cell>
          <cell r="ED58">
            <v>1586.57</v>
          </cell>
          <cell r="EE58">
            <v>9167.52</v>
          </cell>
          <cell r="EF58">
            <v>720219.19</v>
          </cell>
          <cell r="EG58" t="str">
            <v>Contract Services, Supplies, Small Equipment, Training, Compliance, Meals Expense</v>
          </cell>
          <cell r="EH58"/>
          <cell r="EI58">
            <v>3853004.72</v>
          </cell>
          <cell r="EJ58">
            <v>2226246.29</v>
          </cell>
          <cell r="EK58">
            <v>87010.33</v>
          </cell>
          <cell r="EL58">
            <v>1003726.07</v>
          </cell>
          <cell r="EM58"/>
          <cell r="EN58"/>
          <cell r="EO58"/>
          <cell r="EP58"/>
          <cell r="EQ58"/>
          <cell r="ER58"/>
          <cell r="ES58"/>
          <cell r="ET58"/>
          <cell r="EU58"/>
          <cell r="EV58"/>
          <cell r="EW58"/>
          <cell r="EX58"/>
          <cell r="EY58"/>
          <cell r="EZ58"/>
          <cell r="FA58"/>
          <cell r="FB58"/>
          <cell r="FC58"/>
          <cell r="FD58" t="str">
            <v>web-form@smartsheet.com</v>
          </cell>
          <cell r="FE58">
            <v>45714.351589814818</v>
          </cell>
          <cell r="FF58" t="str">
            <v>web-form@smartsheet.com</v>
          </cell>
          <cell r="FG58">
            <v>45714.351589814818</v>
          </cell>
        </row>
        <row r="59">
          <cell r="B59" t="str">
            <v>SPRING GARDENS MAPLETON</v>
          </cell>
          <cell r="C59">
            <v>843680374</v>
          </cell>
          <cell r="D59" t="str">
            <v>Barbra Divis</v>
          </cell>
          <cell r="E59" t="str">
            <v>accounting@avistaseniorliving.com</v>
          </cell>
          <cell r="F59" t="str">
            <v>+1 (602) 476-7540</v>
          </cell>
          <cell r="G59" t="str">
            <v>T2031	Adult Residential Services (Assisted Living Facilities Level I, Level II, &amp; Type N Facilities); per diem</v>
          </cell>
          <cell r="I59"/>
          <cell r="M59"/>
          <cell r="P59"/>
          <cell r="Q59"/>
          <cell r="R59"/>
          <cell r="S59"/>
          <cell r="T59"/>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cell r="BE59"/>
          <cell r="BF59"/>
          <cell r="BG59"/>
          <cell r="BH59"/>
          <cell r="BI59"/>
          <cell r="BJ59"/>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cell r="CV59"/>
          <cell r="CW59" t="str">
            <v>Yes</v>
          </cell>
          <cell r="CX59">
            <v>1.7000000000000001E-2</v>
          </cell>
          <cell r="CY59">
            <v>606636</v>
          </cell>
          <cell r="CZ59">
            <v>586365.4</v>
          </cell>
          <cell r="DA59">
            <v>44153.279999999999</v>
          </cell>
          <cell r="DB59">
            <v>67698.78</v>
          </cell>
          <cell r="DC59">
            <v>140233.87</v>
          </cell>
          <cell r="DD59">
            <v>71913.62</v>
          </cell>
          <cell r="DE59">
            <v>200485.41</v>
          </cell>
          <cell r="DF59">
            <v>72</v>
          </cell>
          <cell r="DG59">
            <v>21406</v>
          </cell>
          <cell r="DH59">
            <v>365</v>
          </cell>
          <cell r="DI59"/>
          <cell r="DJ59"/>
          <cell r="DK59"/>
          <cell r="DL59"/>
          <cell r="DM59"/>
          <cell r="DN59"/>
          <cell r="DO59"/>
          <cell r="DP59"/>
          <cell r="DQ59"/>
          <cell r="DR59"/>
          <cell r="DS59"/>
          <cell r="DT59"/>
          <cell r="DU59"/>
          <cell r="DV59"/>
          <cell r="DW59"/>
          <cell r="DX59"/>
          <cell r="DY59"/>
          <cell r="DZ59">
            <v>640631.77</v>
          </cell>
          <cell r="EA59">
            <v>39898.089999999997</v>
          </cell>
          <cell r="EB59">
            <v>190990.63</v>
          </cell>
          <cell r="EC59">
            <v>4072.85</v>
          </cell>
          <cell r="ED59">
            <v>0</v>
          </cell>
          <cell r="EE59">
            <v>233.66</v>
          </cell>
          <cell r="EF59">
            <v>22273.96</v>
          </cell>
          <cell r="EG59" t="str">
            <v>Contract Services, Supplies, Small Equipment, Training, Compliance</v>
          </cell>
          <cell r="EH59"/>
          <cell r="EI59">
            <v>2720157.63</v>
          </cell>
          <cell r="EJ59">
            <v>1627730.92</v>
          </cell>
          <cell r="EK59">
            <v>51629.75</v>
          </cell>
          <cell r="EL59">
            <v>646841.04</v>
          </cell>
          <cell r="EM59"/>
          <cell r="EN59"/>
          <cell r="EO59"/>
          <cell r="EP59"/>
          <cell r="EQ59"/>
          <cell r="ER59"/>
          <cell r="ES59"/>
          <cell r="ET59"/>
          <cell r="EU59"/>
          <cell r="EV59"/>
          <cell r="EW59"/>
          <cell r="EX59"/>
          <cell r="EY59"/>
          <cell r="EZ59"/>
          <cell r="FA59"/>
          <cell r="FB59"/>
          <cell r="FC59"/>
          <cell r="FD59" t="str">
            <v>web-form@smartsheet.com</v>
          </cell>
          <cell r="FE59">
            <v>45714.370242129633</v>
          </cell>
          <cell r="FF59" t="str">
            <v>web-form@smartsheet.com</v>
          </cell>
          <cell r="FG59">
            <v>45714.370242129633</v>
          </cell>
        </row>
        <row r="60">
          <cell r="B60" t="str">
            <v>SUNRIDGE ASSISTED LIVING OF ROY</v>
          </cell>
          <cell r="C60">
            <v>3013028</v>
          </cell>
          <cell r="D60" t="str">
            <v>Janene Allred</v>
          </cell>
          <cell r="E60" t="str">
            <v>Janene@salmg.com</v>
          </cell>
          <cell r="F60" t="str">
            <v>+1 (435) 753-7297</v>
          </cell>
          <cell r="G60" t="str">
            <v>T2016	Adult Residential Services – (Licensed Assisted Living Facility, Memory Care Unit); per diem
T2031	Adult Residential Services (Assisted Living Facilities Level I, Level II, &amp; Type N Facilities); per diem</v>
          </cell>
          <cell r="I60"/>
          <cell r="M60"/>
          <cell r="P60"/>
          <cell r="Q60"/>
          <cell r="R60"/>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t="str">
            <v>Yes</v>
          </cell>
          <cell r="BX60">
            <v>0.28999999999999998</v>
          </cell>
          <cell r="BY60">
            <v>0</v>
          </cell>
          <cell r="BZ60">
            <v>0</v>
          </cell>
          <cell r="CA60">
            <v>7278.65</v>
          </cell>
          <cell r="CB60">
            <v>2783.42</v>
          </cell>
          <cell r="CC60">
            <v>17843.96</v>
          </cell>
          <cell r="CD60">
            <v>283.38</v>
          </cell>
          <cell r="CE60">
            <v>24603.39</v>
          </cell>
          <cell r="CF60">
            <v>14</v>
          </cell>
          <cell r="CG60">
            <v>3351.88</v>
          </cell>
          <cell r="CH60">
            <v>957.68</v>
          </cell>
          <cell r="CI60"/>
          <cell r="CJ60"/>
          <cell r="CK60"/>
          <cell r="CL60"/>
          <cell r="CM60"/>
          <cell r="CN60"/>
          <cell r="CO60"/>
          <cell r="CP60"/>
          <cell r="CQ60"/>
          <cell r="CR60"/>
          <cell r="CS60"/>
          <cell r="CT60"/>
          <cell r="CU60"/>
          <cell r="CV60"/>
          <cell r="CW60" t="str">
            <v>Yes</v>
          </cell>
          <cell r="CX60">
            <v>0.08</v>
          </cell>
          <cell r="CY60">
            <v>0</v>
          </cell>
          <cell r="CZ60">
            <v>0</v>
          </cell>
          <cell r="DA60">
            <v>44711.71</v>
          </cell>
          <cell r="DB60">
            <v>17098.18</v>
          </cell>
          <cell r="DC60">
            <v>109612.9</v>
          </cell>
          <cell r="DD60">
            <v>1740.75</v>
          </cell>
          <cell r="DE60">
            <v>151135.14000000001</v>
          </cell>
          <cell r="DF60">
            <v>73</v>
          </cell>
          <cell r="DG60">
            <v>20590.12</v>
          </cell>
          <cell r="DH60">
            <v>1692.34</v>
          </cell>
          <cell r="DI60"/>
          <cell r="DJ60"/>
          <cell r="DK60"/>
          <cell r="DL60"/>
          <cell r="DM60"/>
          <cell r="DN60"/>
          <cell r="DO60"/>
          <cell r="DP60"/>
          <cell r="DQ60"/>
          <cell r="DR60"/>
          <cell r="DS60"/>
          <cell r="DT60"/>
          <cell r="DU60"/>
          <cell r="DV60"/>
          <cell r="DW60"/>
          <cell r="DX60"/>
          <cell r="DY60"/>
          <cell r="DZ60">
            <v>720110.65</v>
          </cell>
          <cell r="EA60">
            <v>27675.14</v>
          </cell>
          <cell r="EB60">
            <v>92786.79</v>
          </cell>
          <cell r="EC60">
            <v>2034.75</v>
          </cell>
          <cell r="ED60">
            <v>0</v>
          </cell>
          <cell r="EE60">
            <v>0</v>
          </cell>
          <cell r="EF60">
            <v>21763.8</v>
          </cell>
          <cell r="EG60" t="str">
            <v>Activity and Health Service supplies</v>
          </cell>
          <cell r="EH60"/>
          <cell r="EI60">
            <v>2391629.2999999998</v>
          </cell>
          <cell r="EJ60">
            <v>1297299.1299999999</v>
          </cell>
          <cell r="EK60">
            <v>173849.45</v>
          </cell>
          <cell r="EL60">
            <v>426510.5</v>
          </cell>
          <cell r="EM60"/>
          <cell r="EN60"/>
          <cell r="EO60"/>
          <cell r="EP60"/>
          <cell r="EQ60"/>
          <cell r="ER60"/>
          <cell r="ES60"/>
          <cell r="ET60"/>
          <cell r="EU60"/>
          <cell r="EV60"/>
          <cell r="EW60"/>
          <cell r="EX60"/>
          <cell r="EY60"/>
          <cell r="EZ60"/>
          <cell r="FA60"/>
          <cell r="FB60"/>
          <cell r="FC60"/>
          <cell r="FD60" t="str">
            <v>web-form@smartsheet.com</v>
          </cell>
          <cell r="FE60">
            <v>45714.378854826391</v>
          </cell>
          <cell r="FF60" t="str">
            <v>web-form@smartsheet.com</v>
          </cell>
          <cell r="FG60">
            <v>45714.378854826391</v>
          </cell>
        </row>
        <row r="61">
          <cell r="B61" t="str">
            <v>SPRING GARDENS MIDVALE OPCO LLC</v>
          </cell>
          <cell r="C61">
            <v>881964669</v>
          </cell>
          <cell r="D61" t="str">
            <v>Barbra Divis</v>
          </cell>
          <cell r="E61" t="str">
            <v>accounting@avistaseniorliving.com</v>
          </cell>
          <cell r="F61" t="str">
            <v>+1 (602) 476-7540</v>
          </cell>
          <cell r="G61" t="str">
            <v>T2031	Adult Residential Services (Assisted Living Facilities Level I, Level II, &amp; Type N Facilities); per diem</v>
          </cell>
          <cell r="I61"/>
          <cell r="M61"/>
          <cell r="P61"/>
          <cell r="Q61"/>
          <cell r="R61"/>
          <cell r="S61"/>
          <cell r="T61"/>
          <cell r="U61"/>
          <cell r="V61"/>
          <cell r="W61"/>
          <cell r="X61"/>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cell r="BE61"/>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t="str">
            <v>Yes</v>
          </cell>
          <cell r="CX61">
            <v>0.06</v>
          </cell>
          <cell r="CY61">
            <v>131172</v>
          </cell>
          <cell r="CZ61">
            <v>285937.5</v>
          </cell>
          <cell r="DA61">
            <v>39798.839999999997</v>
          </cell>
          <cell r="DB61">
            <v>28326.78</v>
          </cell>
          <cell r="DC61">
            <v>100140.6</v>
          </cell>
          <cell r="DD61">
            <v>40712.32</v>
          </cell>
          <cell r="DE61">
            <v>120969.69</v>
          </cell>
          <cell r="DF61">
            <v>50</v>
          </cell>
          <cell r="DG61">
            <v>12385</v>
          </cell>
          <cell r="DH61">
            <v>730</v>
          </cell>
          <cell r="DI61"/>
          <cell r="DJ61"/>
          <cell r="DK61"/>
          <cell r="DL61"/>
          <cell r="DM61"/>
          <cell r="DN61"/>
          <cell r="DO61"/>
          <cell r="DP61"/>
          <cell r="DQ61"/>
          <cell r="DR61"/>
          <cell r="DS61"/>
          <cell r="DT61"/>
          <cell r="DU61"/>
          <cell r="DV61"/>
          <cell r="DW61"/>
          <cell r="DX61"/>
          <cell r="DY61"/>
          <cell r="DZ61">
            <v>359700.12</v>
          </cell>
          <cell r="EA61">
            <v>21615.34</v>
          </cell>
          <cell r="EB61">
            <v>141638.07999999999</v>
          </cell>
          <cell r="EC61">
            <v>3281.66</v>
          </cell>
          <cell r="ED61">
            <v>803.65</v>
          </cell>
          <cell r="EE61">
            <v>1324.9</v>
          </cell>
          <cell r="EF61">
            <v>15273.6</v>
          </cell>
          <cell r="EG61" t="str">
            <v>Contract Services, Supplies, Small Equipment, Training, Compliance</v>
          </cell>
          <cell r="EH61"/>
          <cell r="EI61">
            <v>1858474.96</v>
          </cell>
          <cell r="EJ61">
            <v>1030341.82</v>
          </cell>
          <cell r="EK61">
            <v>49645.91</v>
          </cell>
          <cell r="EL61">
            <v>495050.53</v>
          </cell>
          <cell r="EM61"/>
          <cell r="EN61"/>
          <cell r="EO61"/>
          <cell r="EP61"/>
          <cell r="EQ61"/>
          <cell r="ER61"/>
          <cell r="ES61"/>
          <cell r="ET61"/>
          <cell r="EU61"/>
          <cell r="EV61"/>
          <cell r="EW61"/>
          <cell r="EX61"/>
          <cell r="EY61"/>
          <cell r="EZ61"/>
          <cell r="FA61"/>
          <cell r="FB61"/>
          <cell r="FC61"/>
          <cell r="FD61" t="str">
            <v>web-form@smartsheet.com</v>
          </cell>
          <cell r="FE61">
            <v>45714.380866307867</v>
          </cell>
          <cell r="FF61" t="str">
            <v>web-form@smartsheet.com</v>
          </cell>
          <cell r="FG61">
            <v>45714.380866307867</v>
          </cell>
        </row>
        <row r="62">
          <cell r="B62" t="str">
            <v>SUNRIDGE ASSISTED LIVING OF LAYTON</v>
          </cell>
          <cell r="C62">
            <v>3010315</v>
          </cell>
          <cell r="D62" t="str">
            <v>Janene Allred</v>
          </cell>
          <cell r="E62" t="str">
            <v>Janene@salmg.com</v>
          </cell>
          <cell r="F62" t="str">
            <v>+1 (435) 753-7297</v>
          </cell>
          <cell r="G62" t="str">
            <v>T2016	Adult Residential Services – (Licensed Assisted Living Facility, Memory Care Unit); per diem
T2031	Adult Residential Services (Assisted Living Facilities Level I, Level II, &amp; Type N Facilities); per diem</v>
          </cell>
          <cell r="I62"/>
          <cell r="M62"/>
          <cell r="P62"/>
          <cell r="Q62"/>
          <cell r="R62"/>
          <cell r="S62"/>
          <cell r="T62"/>
          <cell r="U62"/>
          <cell r="V62"/>
          <cell r="W62"/>
          <cell r="X62"/>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cell r="BE62"/>
          <cell r="BF62"/>
          <cell r="BG62"/>
          <cell r="BH62"/>
          <cell r="BI62"/>
          <cell r="BJ62"/>
          <cell r="BK62"/>
          <cell r="BL62"/>
          <cell r="BM62"/>
          <cell r="BN62"/>
          <cell r="BO62"/>
          <cell r="BP62"/>
          <cell r="BQ62"/>
          <cell r="BR62"/>
          <cell r="BS62"/>
          <cell r="BT62"/>
          <cell r="BU62"/>
          <cell r="BV62"/>
          <cell r="BW62" t="str">
            <v>Yes</v>
          </cell>
          <cell r="BX62">
            <v>0.2</v>
          </cell>
          <cell r="BY62">
            <v>0</v>
          </cell>
          <cell r="BZ62">
            <v>0</v>
          </cell>
          <cell r="CA62">
            <v>9271.74</v>
          </cell>
          <cell r="CB62">
            <v>3089.73</v>
          </cell>
          <cell r="CC62">
            <v>21347.56</v>
          </cell>
          <cell r="CD62">
            <v>397.54</v>
          </cell>
          <cell r="CE62">
            <v>27174.71</v>
          </cell>
          <cell r="CF62">
            <v>15</v>
          </cell>
          <cell r="CG62">
            <v>3008.66</v>
          </cell>
          <cell r="CH62">
            <v>601.73</v>
          </cell>
          <cell r="CI62"/>
          <cell r="CJ62"/>
          <cell r="CK62"/>
          <cell r="CL62"/>
          <cell r="CM62"/>
          <cell r="CN62"/>
          <cell r="CO62"/>
          <cell r="CP62"/>
          <cell r="CQ62"/>
          <cell r="CR62"/>
          <cell r="CS62"/>
          <cell r="CT62"/>
          <cell r="CU62"/>
          <cell r="CV62"/>
          <cell r="CW62" t="str">
            <v>Yes</v>
          </cell>
          <cell r="CX62" t="str">
            <v>08%</v>
          </cell>
          <cell r="CY62">
            <v>0</v>
          </cell>
          <cell r="CZ62">
            <v>0</v>
          </cell>
          <cell r="DA62">
            <v>45267.88</v>
          </cell>
          <cell r="DB62">
            <v>15085.16</v>
          </cell>
          <cell r="DC62">
            <v>104226.3</v>
          </cell>
          <cell r="DD62">
            <v>1940.94</v>
          </cell>
          <cell r="DE62">
            <v>139069.03</v>
          </cell>
          <cell r="DF62">
            <v>75</v>
          </cell>
          <cell r="DG62">
            <v>14689.34</v>
          </cell>
          <cell r="DH62">
            <v>1175.1500000000001</v>
          </cell>
          <cell r="DI62"/>
          <cell r="DJ62"/>
          <cell r="DK62"/>
          <cell r="DL62"/>
          <cell r="DM62"/>
          <cell r="DN62"/>
          <cell r="DO62"/>
          <cell r="DP62"/>
          <cell r="DQ62"/>
          <cell r="DR62"/>
          <cell r="DS62"/>
          <cell r="DT62"/>
          <cell r="DU62"/>
          <cell r="DV62"/>
          <cell r="DW62"/>
          <cell r="DX62"/>
          <cell r="DY62"/>
          <cell r="DZ62">
            <v>790756.71</v>
          </cell>
          <cell r="EA62">
            <v>29451.25</v>
          </cell>
          <cell r="EB62">
            <v>86600.08</v>
          </cell>
          <cell r="EC62">
            <v>2166.75</v>
          </cell>
          <cell r="ED62">
            <v>0</v>
          </cell>
          <cell r="EE62">
            <v>0</v>
          </cell>
          <cell r="EF62">
            <v>20340.580000000002</v>
          </cell>
          <cell r="EG62" t="str">
            <v>Activity and Health Service Supplies</v>
          </cell>
          <cell r="EH62"/>
          <cell r="EI62">
            <v>2436794.29</v>
          </cell>
          <cell r="EJ62">
            <v>1362163.26</v>
          </cell>
          <cell r="EK62">
            <v>158927.47</v>
          </cell>
          <cell r="EL62">
            <v>425782.95</v>
          </cell>
          <cell r="EM62"/>
          <cell r="EN62"/>
          <cell r="EO62"/>
          <cell r="EP62"/>
          <cell r="EQ62"/>
          <cell r="ER62"/>
          <cell r="ES62"/>
          <cell r="ET62"/>
          <cell r="EU62"/>
          <cell r="EV62"/>
          <cell r="EW62"/>
          <cell r="EX62"/>
          <cell r="EY62"/>
          <cell r="EZ62"/>
          <cell r="FA62"/>
          <cell r="FB62"/>
          <cell r="FC62"/>
          <cell r="FD62" t="str">
            <v>web-form@smartsheet.com</v>
          </cell>
          <cell r="FE62">
            <v>45714.392560798609</v>
          </cell>
          <cell r="FF62" t="str">
            <v>web-form@smartsheet.com</v>
          </cell>
          <cell r="FG62">
            <v>45714.392560798609</v>
          </cell>
        </row>
        <row r="63">
          <cell r="B63" t="str">
            <v>SPRING GARDENS OF LINDON</v>
          </cell>
          <cell r="C63">
            <v>921082609</v>
          </cell>
          <cell r="D63" t="str">
            <v>Barbra Divis</v>
          </cell>
          <cell r="E63" t="str">
            <v>accounting@avistaseniorliving.com</v>
          </cell>
          <cell r="F63" t="str">
            <v>+1 (602) 476-7540</v>
          </cell>
          <cell r="G63" t="str">
            <v>T2031	Adult Residential Services (Assisted Living Facilities Level I, Level II, &amp; Type N Facilities); per diem</v>
          </cell>
          <cell r="I63"/>
          <cell r="M63"/>
          <cell r="P63"/>
          <cell r="Q63"/>
          <cell r="R63"/>
          <cell r="S63"/>
          <cell r="T63"/>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cell r="BE63"/>
          <cell r="BF63"/>
          <cell r="BG63"/>
          <cell r="BH63"/>
          <cell r="BI63"/>
          <cell r="BJ63"/>
          <cell r="BK63"/>
          <cell r="BL63"/>
          <cell r="BM63"/>
          <cell r="BN63"/>
          <cell r="BO63"/>
          <cell r="BP63"/>
          <cell r="BQ63"/>
          <cell r="BR63"/>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t="str">
            <v>Yes</v>
          </cell>
          <cell r="CX63">
            <v>0.01</v>
          </cell>
          <cell r="CY63">
            <v>1370973.23</v>
          </cell>
          <cell r="CZ63">
            <v>0</v>
          </cell>
          <cell r="DA63">
            <v>58702.98</v>
          </cell>
          <cell r="DB63">
            <v>74825.820000000007</v>
          </cell>
          <cell r="DC63">
            <v>184908.35</v>
          </cell>
          <cell r="DD63">
            <v>91989.99</v>
          </cell>
          <cell r="DE63">
            <v>299277.32</v>
          </cell>
          <cell r="DF63">
            <v>116</v>
          </cell>
          <cell r="DG63">
            <v>34164</v>
          </cell>
          <cell r="DH63">
            <v>437</v>
          </cell>
          <cell r="DI63"/>
          <cell r="DJ63"/>
          <cell r="DK63"/>
          <cell r="DL63"/>
          <cell r="DM63"/>
          <cell r="DN63"/>
          <cell r="DO63"/>
          <cell r="DP63"/>
          <cell r="DQ63"/>
          <cell r="DR63"/>
          <cell r="DS63"/>
          <cell r="DT63"/>
          <cell r="DU63"/>
          <cell r="DV63"/>
          <cell r="DW63"/>
          <cell r="DX63"/>
          <cell r="DY63"/>
          <cell r="DZ63">
            <v>942409.81</v>
          </cell>
          <cell r="EA63">
            <v>57894.1</v>
          </cell>
          <cell r="EB63">
            <v>157664.13</v>
          </cell>
          <cell r="EC63">
            <v>2969.02</v>
          </cell>
          <cell r="ED63">
            <v>0</v>
          </cell>
          <cell r="EE63">
            <v>1123.8499999999999</v>
          </cell>
          <cell r="EF63">
            <v>36729.14</v>
          </cell>
          <cell r="EG63" t="str">
            <v>Supplies, Small Equipment, Training, Compliance</v>
          </cell>
          <cell r="EH63"/>
          <cell r="EI63">
            <v>3509129.51</v>
          </cell>
          <cell r="EJ63">
            <v>1984442.66</v>
          </cell>
          <cell r="EK63">
            <v>82953.509999999995</v>
          </cell>
          <cell r="EL63">
            <v>868069.22</v>
          </cell>
          <cell r="EM63"/>
          <cell r="EN63"/>
          <cell r="EO63"/>
          <cell r="EP63"/>
          <cell r="EQ63"/>
          <cell r="ER63"/>
          <cell r="ES63"/>
          <cell r="ET63"/>
          <cell r="EU63"/>
          <cell r="EV63"/>
          <cell r="EW63"/>
          <cell r="EX63"/>
          <cell r="EY63"/>
          <cell r="EZ63"/>
          <cell r="FA63"/>
          <cell r="FB63"/>
          <cell r="FC63"/>
          <cell r="FD63" t="str">
            <v>web-form@smartsheet.com</v>
          </cell>
          <cell r="FE63">
            <v>45714.392932199073</v>
          </cell>
          <cell r="FF63" t="str">
            <v>web-form@smartsheet.com</v>
          </cell>
          <cell r="FG63">
            <v>45714.392932199073</v>
          </cell>
        </row>
        <row r="64">
          <cell r="B64" t="str">
            <v>SPRING GARDENS OF ST. GEORGE</v>
          </cell>
          <cell r="C64">
            <v>921082609</v>
          </cell>
          <cell r="D64" t="str">
            <v>Barbra Divis</v>
          </cell>
          <cell r="E64" t="str">
            <v>accounting@avistaseniorliving.com</v>
          </cell>
          <cell r="F64" t="str">
            <v>+1 (602) 476-7540</v>
          </cell>
          <cell r="G64" t="str">
            <v>T2031	Adult Residential Services (Assisted Living Facilities Level I, Level II, &amp; Type N Facilities); per diem</v>
          </cell>
          <cell r="I64"/>
          <cell r="M64"/>
          <cell r="P64"/>
          <cell r="Q64"/>
          <cell r="R64"/>
          <cell r="S64"/>
          <cell r="T64"/>
          <cell r="U64"/>
          <cell r="V64"/>
          <cell r="W64"/>
          <cell r="X64"/>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cell r="BE64"/>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t="str">
            <v>Yes</v>
          </cell>
          <cell r="CX64">
            <v>7.0000000000000007E-2</v>
          </cell>
          <cell r="CY64">
            <v>1418248.59</v>
          </cell>
          <cell r="CZ64">
            <v>0</v>
          </cell>
          <cell r="DA64">
            <v>55508.65</v>
          </cell>
          <cell r="DB64">
            <v>77108.100000000006</v>
          </cell>
          <cell r="DC64">
            <v>151951.20000000001</v>
          </cell>
          <cell r="DD64">
            <v>39628.35</v>
          </cell>
          <cell r="DE64">
            <v>271193.76</v>
          </cell>
          <cell r="DF64">
            <v>126</v>
          </cell>
          <cell r="DG64">
            <v>31924</v>
          </cell>
          <cell r="DH64">
            <v>2226</v>
          </cell>
          <cell r="DI64"/>
          <cell r="DJ64"/>
          <cell r="DK64"/>
          <cell r="DL64"/>
          <cell r="DM64"/>
          <cell r="DN64"/>
          <cell r="DO64"/>
          <cell r="DP64"/>
          <cell r="DQ64"/>
          <cell r="DR64"/>
          <cell r="DS64"/>
          <cell r="DT64"/>
          <cell r="DU64"/>
          <cell r="DV64"/>
          <cell r="DW64"/>
          <cell r="DX64"/>
          <cell r="DY64"/>
          <cell r="DZ64">
            <v>942011.82</v>
          </cell>
          <cell r="EA64">
            <v>55842.25</v>
          </cell>
          <cell r="EB64">
            <v>175508.38</v>
          </cell>
          <cell r="EC64">
            <v>4209.57</v>
          </cell>
          <cell r="ED64">
            <v>3447.68</v>
          </cell>
          <cell r="EE64">
            <v>2525.98</v>
          </cell>
          <cell r="EF64">
            <v>24558.73</v>
          </cell>
          <cell r="EG64" t="str">
            <v>Health and Wellness Supplies, Contract Services, Small Equipment, Training, Compliance</v>
          </cell>
          <cell r="EH64"/>
          <cell r="EI64">
            <v>3396974.67</v>
          </cell>
          <cell r="EJ64">
            <v>2073281.22</v>
          </cell>
          <cell r="EK64">
            <v>100721.29</v>
          </cell>
          <cell r="EL64">
            <v>711088.99</v>
          </cell>
          <cell r="EM64"/>
          <cell r="EN64"/>
          <cell r="EO64"/>
          <cell r="EP64"/>
          <cell r="EQ64"/>
          <cell r="ER64"/>
          <cell r="ES64"/>
          <cell r="ET64"/>
          <cell r="EU64"/>
          <cell r="EV64"/>
          <cell r="EW64"/>
          <cell r="EX64"/>
          <cell r="EY64"/>
          <cell r="EZ64"/>
          <cell r="FA64"/>
          <cell r="FB64"/>
          <cell r="FC64"/>
          <cell r="FD64" t="str">
            <v>web-form@smartsheet.com</v>
          </cell>
          <cell r="FE64">
            <v>45714.413498981485</v>
          </cell>
          <cell r="FF64" t="str">
            <v>web-form@smartsheet.com</v>
          </cell>
          <cell r="FG64">
            <v>45714.413498981485</v>
          </cell>
        </row>
        <row r="65">
          <cell r="B65" t="str">
            <v>RIVERWAY ASSISTED LIVING</v>
          </cell>
          <cell r="C65">
            <v>3001218</v>
          </cell>
          <cell r="D65" t="str">
            <v>Janene Allred</v>
          </cell>
          <cell r="E65" t="str">
            <v>Janene@salmg.com</v>
          </cell>
          <cell r="F65" t="str">
            <v>+1 (435) 753-7297</v>
          </cell>
          <cell r="G65" t="str">
            <v>T2016	Adult Residential Services – (Licensed Assisted Living Facility, Memory Care Unit); per diem
T2031	Adult Residential Services (Assisted Living Facilities Level I, Level II, &amp; Type N Facilities); per diem</v>
          </cell>
          <cell r="I65"/>
          <cell r="M65"/>
          <cell r="P65"/>
          <cell r="Q65"/>
          <cell r="R65"/>
          <cell r="S65"/>
          <cell r="T65"/>
          <cell r="U65"/>
          <cell r="V65"/>
          <cell r="W65"/>
          <cell r="X65"/>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cell r="BE65"/>
          <cell r="BF65"/>
          <cell r="BG65"/>
          <cell r="BH65"/>
          <cell r="BI65"/>
          <cell r="BJ65"/>
          <cell r="BK65"/>
          <cell r="BL65"/>
          <cell r="BM65"/>
          <cell r="BN65"/>
          <cell r="BO65"/>
          <cell r="BP65"/>
          <cell r="BQ65"/>
          <cell r="BR65"/>
          <cell r="BS65"/>
          <cell r="BT65"/>
          <cell r="BU65"/>
          <cell r="BV65"/>
          <cell r="BW65" t="str">
            <v>Yes</v>
          </cell>
          <cell r="BX65">
            <v>0.2</v>
          </cell>
          <cell r="BY65">
            <v>0</v>
          </cell>
          <cell r="BZ65">
            <v>0</v>
          </cell>
          <cell r="CA65">
            <v>0</v>
          </cell>
          <cell r="CB65">
            <v>0</v>
          </cell>
          <cell r="CC65">
            <v>21053.42</v>
          </cell>
          <cell r="CD65">
            <v>503.81</v>
          </cell>
          <cell r="CE65">
            <v>24745.26</v>
          </cell>
          <cell r="CF65">
            <v>18</v>
          </cell>
          <cell r="CG65">
            <v>3248</v>
          </cell>
          <cell r="CH65">
            <v>394.22</v>
          </cell>
          <cell r="CI65"/>
          <cell r="CJ65"/>
          <cell r="CK65"/>
          <cell r="CL65"/>
          <cell r="CM65"/>
          <cell r="CN65"/>
          <cell r="CO65"/>
          <cell r="CP65"/>
          <cell r="CQ65"/>
          <cell r="CR65"/>
          <cell r="CS65"/>
          <cell r="CT65"/>
          <cell r="CU65"/>
          <cell r="CV65"/>
          <cell r="CW65" t="str">
            <v>Yes</v>
          </cell>
          <cell r="CX65">
            <v>0.8</v>
          </cell>
          <cell r="CY65">
            <v>0</v>
          </cell>
          <cell r="CZ65">
            <v>0</v>
          </cell>
          <cell r="DA65">
            <v>0</v>
          </cell>
          <cell r="DB65">
            <v>0</v>
          </cell>
          <cell r="DC65">
            <v>84123.7</v>
          </cell>
          <cell r="DD65">
            <v>2015.23</v>
          </cell>
          <cell r="DE65">
            <v>98981.06</v>
          </cell>
          <cell r="DF65">
            <v>74</v>
          </cell>
          <cell r="DG65">
            <v>14192</v>
          </cell>
          <cell r="DH65">
            <v>1534.27</v>
          </cell>
          <cell r="DI65"/>
          <cell r="DJ65"/>
          <cell r="DK65"/>
          <cell r="DL65"/>
          <cell r="DM65"/>
          <cell r="DN65"/>
          <cell r="DO65"/>
          <cell r="DP65"/>
          <cell r="DQ65"/>
          <cell r="DR65"/>
          <cell r="DS65"/>
          <cell r="DT65"/>
          <cell r="DU65"/>
          <cell r="DV65"/>
          <cell r="DW65"/>
          <cell r="DX65"/>
          <cell r="DY65"/>
          <cell r="DZ65">
            <v>713683.39</v>
          </cell>
          <cell r="EA65">
            <v>27261.73</v>
          </cell>
          <cell r="EB65">
            <v>72644.899999999994</v>
          </cell>
          <cell r="EC65">
            <v>2134.39</v>
          </cell>
          <cell r="ED65">
            <v>0</v>
          </cell>
          <cell r="EE65">
            <v>0</v>
          </cell>
          <cell r="EF65">
            <v>10999.7</v>
          </cell>
          <cell r="EG65" t="str">
            <v>Activity &amp; Health Service Supplies</v>
          </cell>
          <cell r="EH65"/>
          <cell r="EI65">
            <v>1961269.06</v>
          </cell>
          <cell r="EJ65">
            <v>1178126.6299999999</v>
          </cell>
          <cell r="EK65">
            <v>109488.91</v>
          </cell>
          <cell r="EL65">
            <v>368037.14</v>
          </cell>
          <cell r="EM65"/>
          <cell r="EN65"/>
          <cell r="EO65"/>
          <cell r="EP65"/>
          <cell r="EQ65"/>
          <cell r="ER65"/>
          <cell r="ES65"/>
          <cell r="ET65"/>
          <cell r="EU65"/>
          <cell r="EV65"/>
          <cell r="EW65"/>
          <cell r="EX65"/>
          <cell r="EY65"/>
          <cell r="EZ65"/>
          <cell r="FA65"/>
          <cell r="FB65"/>
          <cell r="FC65"/>
          <cell r="FD65" t="str">
            <v>web-form@smartsheet.com</v>
          </cell>
          <cell r="FE65">
            <v>45714.425383726855</v>
          </cell>
          <cell r="FF65" t="str">
            <v>web-form@smartsheet.com</v>
          </cell>
          <cell r="FG65">
            <v>45714.425383726855</v>
          </cell>
        </row>
        <row r="66">
          <cell r="B66" t="str">
            <v>FAMILY CARE DSPD</v>
          </cell>
          <cell r="C66" t="str">
            <v>000000000</v>
          </cell>
          <cell r="D66" t="str">
            <v>Lea M</v>
          </cell>
          <cell r="E66" t="str">
            <v>lea@familycarellc.org</v>
          </cell>
          <cell r="F66" t="str">
            <v>+1 (801) 979-6434</v>
          </cell>
          <cell r="G66" t="str">
            <v>S5102	Adult Day Care (Adult Day Health) or Adult day health services; per diem</v>
          </cell>
          <cell r="I66"/>
          <cell r="M66"/>
          <cell r="P66"/>
          <cell r="Q66"/>
          <cell r="R66"/>
          <cell r="S66"/>
          <cell r="T66"/>
          <cell r="U66"/>
          <cell r="V66"/>
          <cell r="W66"/>
          <cell r="X66"/>
          <cell r="Y66"/>
          <cell r="Z66"/>
          <cell r="AA66"/>
          <cell r="AB66"/>
          <cell r="AC66"/>
          <cell r="AD66"/>
          <cell r="AE66"/>
          <cell r="AF66" t="str">
            <v>Yes</v>
          </cell>
          <cell r="AG66">
            <v>1</v>
          </cell>
          <cell r="AH66">
            <v>529</v>
          </cell>
          <cell r="AI66">
            <v>5</v>
          </cell>
          <cell r="AJ66"/>
          <cell r="AK66"/>
          <cell r="AL66"/>
          <cell r="AM66"/>
          <cell r="AN66"/>
          <cell r="AO66"/>
          <cell r="AP66"/>
          <cell r="AQ66"/>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cell r="DG66"/>
          <cell r="DH66"/>
          <cell r="DI66"/>
          <cell r="DJ66"/>
          <cell r="DK66"/>
          <cell r="DL66"/>
          <cell r="DM66"/>
          <cell r="DN66"/>
          <cell r="DO66"/>
          <cell r="DP66"/>
          <cell r="DQ66"/>
          <cell r="DR66"/>
          <cell r="DS66"/>
          <cell r="DT66"/>
          <cell r="DU66"/>
          <cell r="DV66"/>
          <cell r="DW66"/>
          <cell r="DX66"/>
          <cell r="DY66"/>
          <cell r="DZ66">
            <v>30000</v>
          </cell>
          <cell r="EA66">
            <v>3000</v>
          </cell>
          <cell r="EB66">
            <v>30000</v>
          </cell>
          <cell r="EC66">
            <v>3000</v>
          </cell>
          <cell r="ED66">
            <v>0</v>
          </cell>
          <cell r="EE66">
            <v>0</v>
          </cell>
          <cell r="EF66">
            <v>1200</v>
          </cell>
          <cell r="EG66" t="str">
            <v>food and supplies for activities</v>
          </cell>
          <cell r="EH66"/>
          <cell r="EI66"/>
          <cell r="EJ66"/>
          <cell r="EK66"/>
          <cell r="EL66"/>
          <cell r="EM66"/>
          <cell r="EN66"/>
          <cell r="EO66"/>
          <cell r="EP66"/>
          <cell r="EQ66"/>
          <cell r="ER66"/>
          <cell r="ES66"/>
          <cell r="ET66"/>
          <cell r="EU66"/>
          <cell r="EV66"/>
          <cell r="EW66"/>
          <cell r="EX66"/>
          <cell r="EY66"/>
          <cell r="EZ66"/>
          <cell r="FA66"/>
          <cell r="FB66"/>
          <cell r="FC66"/>
          <cell r="FD66" t="str">
            <v>web-form@smartsheet.com</v>
          </cell>
          <cell r="FE66">
            <v>45714.438091944445</v>
          </cell>
          <cell r="FF66" t="str">
            <v>web-form@smartsheet.com</v>
          </cell>
          <cell r="FG66">
            <v>45714.438091944445</v>
          </cell>
        </row>
        <row r="67">
          <cell r="B67" t="str">
            <v>THE BEAUMONT</v>
          </cell>
          <cell r="C67">
            <v>4247967</v>
          </cell>
          <cell r="D67" t="str">
            <v>Janene Allred</v>
          </cell>
          <cell r="E67" t="str">
            <v>Janene@salmg.com</v>
          </cell>
          <cell r="F67" t="str">
            <v>+1 (435) 753-7297</v>
          </cell>
          <cell r="G67" t="str">
            <v>T2016	Adult Residential Services – (Licensed Assisted Living Facility, Memory Care Unit); per diem
T2031	Adult Residential Services (Assisted Living Facilities Level I, Level II, &amp; Type N Facilities); per diem</v>
          </cell>
          <cell r="I67"/>
          <cell r="M67"/>
          <cell r="P67"/>
          <cell r="Q67"/>
          <cell r="R67"/>
          <cell r="S67"/>
          <cell r="T67"/>
          <cell r="U67"/>
          <cell r="V67"/>
          <cell r="W67"/>
          <cell r="X67"/>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cell r="BV67"/>
          <cell r="BW67" t="str">
            <v>Yes</v>
          </cell>
          <cell r="BX67">
            <v>0.23</v>
          </cell>
          <cell r="BY67">
            <v>0</v>
          </cell>
          <cell r="BZ67">
            <v>0</v>
          </cell>
          <cell r="CA67">
            <v>0</v>
          </cell>
          <cell r="CB67">
            <v>26880.68</v>
          </cell>
          <cell r="CC67">
            <v>54906.83</v>
          </cell>
          <cell r="CD67">
            <v>134.91</v>
          </cell>
          <cell r="CE67">
            <v>43109.11</v>
          </cell>
          <cell r="CF67">
            <v>46</v>
          </cell>
          <cell r="CG67">
            <v>4670.1499999999996</v>
          </cell>
          <cell r="CH67">
            <v>101.53</v>
          </cell>
          <cell r="CI67"/>
          <cell r="CJ67"/>
          <cell r="CK67"/>
          <cell r="CL67"/>
          <cell r="CM67"/>
          <cell r="CN67"/>
          <cell r="CO67"/>
          <cell r="CP67"/>
          <cell r="CQ67"/>
          <cell r="CR67"/>
          <cell r="CS67"/>
          <cell r="CT67"/>
          <cell r="CU67"/>
          <cell r="CV67"/>
          <cell r="CW67" t="str">
            <v>Yes</v>
          </cell>
          <cell r="CX67">
            <v>0.77</v>
          </cell>
          <cell r="CY67">
            <v>0</v>
          </cell>
          <cell r="CZ67">
            <v>0</v>
          </cell>
          <cell r="DA67">
            <v>0</v>
          </cell>
          <cell r="DB67">
            <v>89991.83</v>
          </cell>
          <cell r="DC67">
            <v>183818.5</v>
          </cell>
          <cell r="DD67">
            <v>428.2</v>
          </cell>
          <cell r="DE67">
            <v>144321.79</v>
          </cell>
          <cell r="DF67">
            <v>156</v>
          </cell>
          <cell r="DG67">
            <v>15634.85</v>
          </cell>
          <cell r="DH67">
            <v>1904.24</v>
          </cell>
          <cell r="DI67"/>
          <cell r="DJ67"/>
          <cell r="DK67"/>
          <cell r="DL67"/>
          <cell r="DM67"/>
          <cell r="DN67"/>
          <cell r="DO67"/>
          <cell r="DP67"/>
          <cell r="DQ67"/>
          <cell r="DR67"/>
          <cell r="DS67"/>
          <cell r="DT67"/>
          <cell r="DU67"/>
          <cell r="DV67"/>
          <cell r="DW67"/>
          <cell r="DX67"/>
          <cell r="DY67"/>
          <cell r="DZ67">
            <v>697073.79</v>
          </cell>
          <cell r="EA67">
            <v>22604.97</v>
          </cell>
          <cell r="EB67">
            <v>125629.42</v>
          </cell>
          <cell r="EC67">
            <v>2163.98</v>
          </cell>
          <cell r="ED67">
            <v>0</v>
          </cell>
          <cell r="EE67">
            <v>0</v>
          </cell>
          <cell r="EF67">
            <v>19504.439999999999</v>
          </cell>
          <cell r="EG67" t="str">
            <v>Activity and Health Service Supplies</v>
          </cell>
          <cell r="EH67"/>
          <cell r="EI67">
            <v>2953512.86</v>
          </cell>
          <cell r="EJ67">
            <v>1445917.35</v>
          </cell>
          <cell r="EK67">
            <v>201041.1</v>
          </cell>
          <cell r="EL67">
            <v>517411.91</v>
          </cell>
          <cell r="EM67"/>
          <cell r="EN67"/>
          <cell r="EO67"/>
          <cell r="EP67"/>
          <cell r="EQ67"/>
          <cell r="ER67"/>
          <cell r="ES67"/>
          <cell r="ET67"/>
          <cell r="EU67"/>
          <cell r="EV67"/>
          <cell r="EW67"/>
          <cell r="EX67"/>
          <cell r="EY67"/>
          <cell r="EZ67"/>
          <cell r="FA67"/>
          <cell r="FB67"/>
          <cell r="FC67"/>
          <cell r="FD67" t="str">
            <v>web-form@smartsheet.com</v>
          </cell>
          <cell r="FE67">
            <v>45714.43913269676</v>
          </cell>
          <cell r="FF67" t="str">
            <v>web-form@smartsheet.com</v>
          </cell>
          <cell r="FG67">
            <v>45714.43913269676</v>
          </cell>
        </row>
        <row r="68">
          <cell r="B68" t="str">
            <v>OUR HOUSE OF OGDEN</v>
          </cell>
          <cell r="C68">
            <v>46297742</v>
          </cell>
          <cell r="D68" t="str">
            <v>Daniel Pugmire</v>
          </cell>
          <cell r="E68" t="str">
            <v>daniel@salmg.com</v>
          </cell>
          <cell r="F68" t="str">
            <v>+1 (435) 753-7297</v>
          </cell>
          <cell r="G68" t="str">
            <v>T2016	Adult Residential Services – (Licensed Assisted Living Facility, Memory Care Unit); per diem
T2031	Adult Residential Services (Assisted Living Facilities Level I, Level II, &amp; Type N Facilities); per diem</v>
          </cell>
          <cell r="I68"/>
          <cell r="M68"/>
          <cell r="P68"/>
          <cell r="Q68"/>
          <cell r="R68"/>
          <cell r="S68"/>
          <cell r="T68"/>
          <cell r="U68"/>
          <cell r="V68"/>
          <cell r="W68"/>
          <cell r="X68"/>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cell r="BP68"/>
          <cell r="BQ68"/>
          <cell r="BR68"/>
          <cell r="BS68"/>
          <cell r="BT68"/>
          <cell r="BU68"/>
          <cell r="BV68"/>
          <cell r="BW68" t="str">
            <v>Yes</v>
          </cell>
          <cell r="BX68">
            <v>0.1</v>
          </cell>
          <cell r="BY68">
            <v>0</v>
          </cell>
          <cell r="BZ68">
            <v>0</v>
          </cell>
          <cell r="CA68">
            <v>0</v>
          </cell>
          <cell r="CB68">
            <v>10550.5</v>
          </cell>
          <cell r="CC68">
            <v>56260.78</v>
          </cell>
          <cell r="CD68">
            <v>2211.94</v>
          </cell>
          <cell r="CE68">
            <v>78248.149999999994</v>
          </cell>
          <cell r="CF68">
            <v>39</v>
          </cell>
          <cell r="CG68">
            <v>8518</v>
          </cell>
          <cell r="CH68">
            <v>874</v>
          </cell>
          <cell r="CI68" t="str">
            <v>N/A</v>
          </cell>
          <cell r="CJ68"/>
          <cell r="CK68"/>
          <cell r="CL68"/>
          <cell r="CM68"/>
          <cell r="CN68"/>
          <cell r="CO68"/>
          <cell r="CP68"/>
          <cell r="CQ68"/>
          <cell r="CR68"/>
          <cell r="CS68"/>
          <cell r="CT68"/>
          <cell r="CU68"/>
          <cell r="CV68"/>
          <cell r="CW68" t="str">
            <v>Yes</v>
          </cell>
          <cell r="CX68">
            <v>0</v>
          </cell>
          <cell r="CY68">
            <v>0</v>
          </cell>
          <cell r="CZ68">
            <v>0</v>
          </cell>
          <cell r="DA68">
            <v>0</v>
          </cell>
          <cell r="DB68">
            <v>0</v>
          </cell>
          <cell r="DC68">
            <v>23081.35</v>
          </cell>
          <cell r="DD68">
            <v>907.46</v>
          </cell>
          <cell r="DE68">
            <v>32101.8</v>
          </cell>
          <cell r="DF68">
            <v>16</v>
          </cell>
          <cell r="DG68">
            <v>3494</v>
          </cell>
          <cell r="DH68">
            <v>0</v>
          </cell>
          <cell r="DI68" t="str">
            <v>N/A</v>
          </cell>
          <cell r="DJ68"/>
          <cell r="DK68"/>
          <cell r="DL68"/>
          <cell r="DM68"/>
          <cell r="DN68"/>
          <cell r="DO68"/>
          <cell r="DP68"/>
          <cell r="DQ68"/>
          <cell r="DR68"/>
          <cell r="DS68"/>
          <cell r="DT68"/>
          <cell r="DU68"/>
          <cell r="DV68"/>
          <cell r="DW68"/>
          <cell r="DX68"/>
          <cell r="DY68"/>
          <cell r="DZ68">
            <v>433842.35</v>
          </cell>
          <cell r="EA68">
            <v>10817.85</v>
          </cell>
          <cell r="EB68">
            <v>53507.75</v>
          </cell>
          <cell r="EC68">
            <v>1560.06</v>
          </cell>
          <cell r="ED68">
            <v>0</v>
          </cell>
          <cell r="EE68">
            <v>0</v>
          </cell>
          <cell r="EF68">
            <v>0</v>
          </cell>
          <cell r="EG68" t="str">
            <v>N/A</v>
          </cell>
          <cell r="EH68" t="str">
            <v>N/A</v>
          </cell>
          <cell r="EI68">
            <v>1474452.08</v>
          </cell>
          <cell r="EJ68">
            <v>833793.89</v>
          </cell>
          <cell r="EK68">
            <v>91950.98</v>
          </cell>
          <cell r="EL68">
            <v>333758.78000000003</v>
          </cell>
          <cell r="EM68"/>
          <cell r="EN68"/>
          <cell r="EO68"/>
          <cell r="EP68"/>
          <cell r="EQ68"/>
          <cell r="ER68"/>
          <cell r="ES68"/>
          <cell r="ET68"/>
          <cell r="EU68"/>
          <cell r="EV68"/>
          <cell r="EW68"/>
          <cell r="EX68"/>
          <cell r="EY68"/>
          <cell r="EZ68"/>
          <cell r="FA68"/>
          <cell r="FB68"/>
          <cell r="FC68"/>
          <cell r="FD68" t="str">
            <v>web-form@smartsheet.com</v>
          </cell>
          <cell r="FE68">
            <v>45714.451057638886</v>
          </cell>
          <cell r="FF68" t="str">
            <v>web-form@smartsheet.com</v>
          </cell>
          <cell r="FG68">
            <v>45714.451057638886</v>
          </cell>
        </row>
        <row r="69">
          <cell r="B69" t="str">
            <v>OUR HOUSE OF TREMONTON</v>
          </cell>
          <cell r="C69">
            <v>1184877052</v>
          </cell>
          <cell r="D69" t="str">
            <v>Daniel Pugmire</v>
          </cell>
          <cell r="E69" t="str">
            <v>daniel@salmg.com</v>
          </cell>
          <cell r="F69" t="str">
            <v>+1 (435) 753-7297</v>
          </cell>
          <cell r="G69" t="str">
            <v>T2016	Adult Residential Services – (Licensed Assisted Living Facility, Memory Care Unit); per diem</v>
          </cell>
          <cell r="I69"/>
          <cell r="M69"/>
          <cell r="P69"/>
          <cell r="Q69"/>
          <cell r="R69"/>
          <cell r="S69"/>
          <cell r="T69"/>
          <cell r="U69"/>
          <cell r="V69"/>
          <cell r="W69"/>
          <cell r="X69"/>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t="str">
            <v>Yes</v>
          </cell>
          <cell r="BX69">
            <v>0.12</v>
          </cell>
          <cell r="BY69">
            <v>0</v>
          </cell>
          <cell r="BZ69">
            <v>0</v>
          </cell>
          <cell r="CA69">
            <v>18699.96</v>
          </cell>
          <cell r="CB69">
            <v>11474.04</v>
          </cell>
          <cell r="CC69">
            <v>80790.84</v>
          </cell>
          <cell r="CD69">
            <v>3751.49</v>
          </cell>
          <cell r="CE69">
            <v>57159.42</v>
          </cell>
          <cell r="CF69">
            <v>33</v>
          </cell>
          <cell r="CG69">
            <v>7405</v>
          </cell>
          <cell r="CH69">
            <v>698</v>
          </cell>
          <cell r="CI69" t="str">
            <v>N/A</v>
          </cell>
          <cell r="CJ69"/>
          <cell r="CK69"/>
          <cell r="CL69"/>
          <cell r="CM69"/>
          <cell r="CN69"/>
          <cell r="CO69"/>
          <cell r="CP69"/>
          <cell r="CQ69"/>
          <cell r="CR69"/>
          <cell r="CS69"/>
          <cell r="CT69"/>
          <cell r="CU69"/>
          <cell r="CV69"/>
          <cell r="CW69"/>
          <cell r="CX69"/>
          <cell r="CY69"/>
          <cell r="CZ69"/>
          <cell r="DA69"/>
          <cell r="DB69"/>
          <cell r="DC69"/>
          <cell r="DD69"/>
          <cell r="DE69"/>
          <cell r="DF69"/>
          <cell r="DG69"/>
          <cell r="DH69"/>
          <cell r="DI69"/>
          <cell r="DJ69"/>
          <cell r="DK69"/>
          <cell r="DL69"/>
          <cell r="DM69"/>
          <cell r="DN69"/>
          <cell r="DO69"/>
          <cell r="DP69"/>
          <cell r="DQ69"/>
          <cell r="DR69"/>
          <cell r="DS69"/>
          <cell r="DT69"/>
          <cell r="DU69"/>
          <cell r="DV69"/>
          <cell r="DW69"/>
          <cell r="DX69"/>
          <cell r="DY69"/>
          <cell r="DZ69">
            <v>229125.34</v>
          </cell>
          <cell r="EA69">
            <v>7392.94</v>
          </cell>
          <cell r="EB69">
            <v>58124.89</v>
          </cell>
          <cell r="EC69">
            <v>1448.06</v>
          </cell>
          <cell r="ED69">
            <v>0</v>
          </cell>
          <cell r="EE69">
            <v>0</v>
          </cell>
          <cell r="EF69">
            <v>0</v>
          </cell>
          <cell r="EG69" t="str">
            <v>N/A</v>
          </cell>
          <cell r="EH69" t="str">
            <v>N/A</v>
          </cell>
          <cell r="EI69">
            <v>741896.02</v>
          </cell>
          <cell r="EJ69">
            <v>407422.29</v>
          </cell>
          <cell r="EK69">
            <v>35173.910000000003</v>
          </cell>
          <cell r="EL69">
            <v>146837.62</v>
          </cell>
          <cell r="EM69"/>
          <cell r="EN69"/>
          <cell r="EO69"/>
          <cell r="EP69"/>
          <cell r="EQ69"/>
          <cell r="ER69"/>
          <cell r="ES69"/>
          <cell r="ET69"/>
          <cell r="EU69"/>
          <cell r="EV69"/>
          <cell r="EW69"/>
          <cell r="EX69"/>
          <cell r="EY69"/>
          <cell r="EZ69"/>
          <cell r="FA69"/>
          <cell r="FB69"/>
          <cell r="FC69"/>
          <cell r="FD69" t="str">
            <v>web-form@smartsheet.com</v>
          </cell>
          <cell r="FE69">
            <v>45714.472856759261</v>
          </cell>
          <cell r="FF69" t="str">
            <v>web-form@smartsheet.com</v>
          </cell>
          <cell r="FG69">
            <v>45714.472856759261</v>
          </cell>
        </row>
        <row r="70">
          <cell r="B70" t="str">
            <v>SUNRIDGE ASSISTED LIVING</v>
          </cell>
          <cell r="C70">
            <v>474672685</v>
          </cell>
          <cell r="D70" t="str">
            <v>Daniel Pugmire</v>
          </cell>
          <cell r="E70" t="str">
            <v>daniel@salmg.com</v>
          </cell>
          <cell r="F70" t="str">
            <v>+1 (435) 753-7297</v>
          </cell>
          <cell r="G70" t="str">
            <v>T2016	Adult Residential Services – (Licensed Assisted Living Facility, Memory Care Unit); per diem
T2031	Adult Residential Services (Assisted Living Facilities Level I, Level II, &amp; Type N Facilities); per diem</v>
          </cell>
          <cell r="I70"/>
          <cell r="M70"/>
          <cell r="P70"/>
          <cell r="Q70"/>
          <cell r="R70"/>
          <cell r="S70"/>
          <cell r="T70"/>
          <cell r="U70"/>
          <cell r="V70"/>
          <cell r="W70"/>
          <cell r="X70"/>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cell r="BE70"/>
          <cell r="BF70"/>
          <cell r="BG70"/>
          <cell r="BH70"/>
          <cell r="BI70"/>
          <cell r="BJ70"/>
          <cell r="BK70"/>
          <cell r="BL70"/>
          <cell r="BM70"/>
          <cell r="BN70"/>
          <cell r="BO70"/>
          <cell r="BP70"/>
          <cell r="BQ70"/>
          <cell r="BR70"/>
          <cell r="BS70"/>
          <cell r="BT70"/>
          <cell r="BU70"/>
          <cell r="BV70"/>
          <cell r="BW70" t="str">
            <v>Yes</v>
          </cell>
          <cell r="BX70">
            <v>0.17</v>
          </cell>
          <cell r="BY70">
            <v>0</v>
          </cell>
          <cell r="BZ70">
            <v>0</v>
          </cell>
          <cell r="CA70">
            <v>48147.55</v>
          </cell>
          <cell r="CB70">
            <v>22795.86</v>
          </cell>
          <cell r="CC70">
            <v>112350.2</v>
          </cell>
          <cell r="CD70">
            <v>4198.7700000000004</v>
          </cell>
          <cell r="CE70">
            <v>121966.06</v>
          </cell>
          <cell r="CF70">
            <v>60</v>
          </cell>
          <cell r="CG70">
            <v>17382</v>
          </cell>
          <cell r="CH70">
            <v>2897</v>
          </cell>
          <cell r="CI70" t="str">
            <v>N/A</v>
          </cell>
          <cell r="CJ70"/>
          <cell r="CK70"/>
          <cell r="CL70"/>
          <cell r="CM70"/>
          <cell r="CN70"/>
          <cell r="CO70"/>
          <cell r="CP70"/>
          <cell r="CQ70"/>
          <cell r="CR70"/>
          <cell r="CS70"/>
          <cell r="CT70"/>
          <cell r="CU70"/>
          <cell r="CV70"/>
          <cell r="CW70" t="str">
            <v>Yes</v>
          </cell>
          <cell r="CX70">
            <v>0</v>
          </cell>
          <cell r="CY70">
            <v>0</v>
          </cell>
          <cell r="CZ70">
            <v>0</v>
          </cell>
          <cell r="DA70">
            <v>12036.89</v>
          </cell>
          <cell r="DB70">
            <v>4559.17</v>
          </cell>
          <cell r="DC70">
            <v>28087.55</v>
          </cell>
          <cell r="DD70">
            <v>1049.69</v>
          </cell>
          <cell r="DE70">
            <v>30491.52</v>
          </cell>
          <cell r="DF70">
            <v>15</v>
          </cell>
          <cell r="DG70">
            <v>4346</v>
          </cell>
          <cell r="DH70">
            <v>0</v>
          </cell>
          <cell r="DI70" t="str">
            <v>N/A</v>
          </cell>
          <cell r="DJ70"/>
          <cell r="DK70"/>
          <cell r="DL70"/>
          <cell r="DM70"/>
          <cell r="DN70"/>
          <cell r="DO70"/>
          <cell r="DP70"/>
          <cell r="DQ70"/>
          <cell r="DR70"/>
          <cell r="DS70"/>
          <cell r="DT70"/>
          <cell r="DU70"/>
          <cell r="DV70"/>
          <cell r="DW70"/>
          <cell r="DX70"/>
          <cell r="DY70"/>
          <cell r="DZ70">
            <v>711371.68</v>
          </cell>
          <cell r="EA70">
            <v>18361</v>
          </cell>
          <cell r="EB70">
            <v>58605.9</v>
          </cell>
          <cell r="EC70">
            <v>1126.71</v>
          </cell>
          <cell r="ED70">
            <v>0</v>
          </cell>
          <cell r="EE70">
            <v>602.08000000000004</v>
          </cell>
          <cell r="EF70">
            <v>0</v>
          </cell>
          <cell r="EG70" t="str">
            <v>N/A</v>
          </cell>
          <cell r="EH70" t="str">
            <v>N/A</v>
          </cell>
          <cell r="EI70">
            <v>2079631.5</v>
          </cell>
          <cell r="EJ70">
            <v>1311985.74</v>
          </cell>
          <cell r="EK70">
            <v>99599.45</v>
          </cell>
          <cell r="EL70">
            <v>342694.35</v>
          </cell>
          <cell r="EM70"/>
          <cell r="EN70"/>
          <cell r="EO70"/>
          <cell r="EP70"/>
          <cell r="EQ70"/>
          <cell r="ER70"/>
          <cell r="ES70"/>
          <cell r="ET70"/>
          <cell r="EU70"/>
          <cell r="EV70"/>
          <cell r="EW70"/>
          <cell r="EX70"/>
          <cell r="EY70"/>
          <cell r="EZ70"/>
          <cell r="FA70"/>
          <cell r="FB70"/>
          <cell r="FC70"/>
          <cell r="FD70" t="str">
            <v>web-form@smartsheet.com</v>
          </cell>
          <cell r="FE70">
            <v>45714.521799305556</v>
          </cell>
          <cell r="FF70" t="str">
            <v>web-form@smartsheet.com</v>
          </cell>
          <cell r="FG70">
            <v>45714.521799305556</v>
          </cell>
        </row>
        <row r="71">
          <cell r="B71" t="str">
            <v>MOANA SUPPORT LLC</v>
          </cell>
          <cell r="C71">
            <v>823006972</v>
          </cell>
          <cell r="D71" t="str">
            <v>Liovigilda Matelau</v>
          </cell>
          <cell r="E71" t="str">
            <v>lio.martinez@moanasupport.com</v>
          </cell>
          <cell r="F71" t="str">
            <v>+1 (801) 856-6022</v>
          </cell>
          <cell r="G71" t="str">
            <v>H0038	Personal Budget Assistance; per 15 minutes
Other services or operations not listed above</v>
          </cell>
          <cell r="I71"/>
          <cell r="L71" t="str">
            <v>Yes</v>
          </cell>
          <cell r="M71">
            <v>0.8</v>
          </cell>
          <cell r="N71">
            <v>204</v>
          </cell>
          <cell r="O71" t="str">
            <v>204 units billed to DSPD for the year of 2024</v>
          </cell>
          <cell r="P71"/>
          <cell r="Q71"/>
          <cell r="R71"/>
          <cell r="S71"/>
          <cell r="T71"/>
          <cell r="U71"/>
          <cell r="V71"/>
          <cell r="W71"/>
          <cell r="X71"/>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cell r="DG71"/>
          <cell r="DH71"/>
          <cell r="DI71"/>
          <cell r="DJ71"/>
          <cell r="DK71"/>
          <cell r="DL71"/>
          <cell r="DM71"/>
          <cell r="DN71"/>
          <cell r="DO71"/>
          <cell r="DP71"/>
          <cell r="DQ71"/>
          <cell r="DR71"/>
          <cell r="DS71"/>
          <cell r="DT71"/>
          <cell r="DU71"/>
          <cell r="DV71"/>
          <cell r="DW71"/>
          <cell r="DX71"/>
          <cell r="DY71"/>
          <cell r="DZ71">
            <v>8827.0499999999993</v>
          </cell>
          <cell r="EA71">
            <v>480</v>
          </cell>
          <cell r="EB71">
            <v>21000</v>
          </cell>
          <cell r="EC71">
            <v>728</v>
          </cell>
          <cell r="ED71"/>
          <cell r="EE71"/>
          <cell r="EF71"/>
          <cell r="EG71"/>
          <cell r="EH71"/>
          <cell r="EI71">
            <v>727228.91</v>
          </cell>
          <cell r="EJ71">
            <v>580843.03</v>
          </cell>
          <cell r="EK71">
            <v>54375.39</v>
          </cell>
          <cell r="EL71">
            <v>62183.44</v>
          </cell>
          <cell r="EM71">
            <v>697401.86</v>
          </cell>
          <cell r="EN71"/>
          <cell r="EO71"/>
          <cell r="EP71"/>
          <cell r="EQ71"/>
          <cell r="ER71"/>
          <cell r="ES71"/>
          <cell r="ET71"/>
          <cell r="EU71"/>
          <cell r="EV71"/>
          <cell r="EW71"/>
          <cell r="EX71"/>
          <cell r="EY71"/>
          <cell r="EZ71"/>
          <cell r="FA71"/>
          <cell r="FB71"/>
          <cell r="FC71"/>
          <cell r="FD71" t="str">
            <v>web-form@smartsheet.com</v>
          </cell>
          <cell r="FE71">
            <v>45714.591278032407</v>
          </cell>
          <cell r="FF71" t="str">
            <v>web-form@smartsheet.com</v>
          </cell>
          <cell r="FG71">
            <v>45714.591278032407</v>
          </cell>
        </row>
        <row r="72">
          <cell r="B72" t="str">
            <v>NIITSUMA LIVING CENTER AW</v>
          </cell>
          <cell r="C72">
            <v>1144364662</v>
          </cell>
          <cell r="D72" t="str">
            <v>Rebecca Niitsuma</v>
          </cell>
          <cell r="E72" t="str">
            <v>rniitsuma5@gmail.com</v>
          </cell>
          <cell r="F72" t="str">
            <v>+1 (801) 269-1230</v>
          </cell>
          <cell r="G72" t="str">
            <v>H0045	Respite Care – Overnight, Out of Home, Room &amp; Board included or Respite Care Services – LTC facility; per diem
T2031	Adult Residential Services (Assisted Living Facilities Level I, Level II, &amp; Type N Facilities); per diem</v>
          </cell>
          <cell r="I72"/>
          <cell r="M72"/>
          <cell r="P72"/>
          <cell r="Q72"/>
          <cell r="R72"/>
          <cell r="S72"/>
          <cell r="T72"/>
          <cell r="U72"/>
          <cell r="V72"/>
          <cell r="W72"/>
          <cell r="X72"/>
          <cell r="Y72"/>
          <cell r="Z72"/>
          <cell r="AA72"/>
          <cell r="AB72" t="str">
            <v>Yes</v>
          </cell>
          <cell r="AC72">
            <v>1</v>
          </cell>
          <cell r="AD72">
            <v>15</v>
          </cell>
          <cell r="AE72">
            <v>24</v>
          </cell>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t="str">
            <v>Yes</v>
          </cell>
          <cell r="CX72">
            <v>0.75</v>
          </cell>
          <cell r="CY72">
            <v>3375.66</v>
          </cell>
          <cell r="CZ72"/>
          <cell r="DA72">
            <v>1740</v>
          </cell>
          <cell r="DB72">
            <v>952.93</v>
          </cell>
          <cell r="DC72">
            <v>7878.48</v>
          </cell>
          <cell r="DD72">
            <v>9583.5</v>
          </cell>
          <cell r="DE72">
            <v>22325.34</v>
          </cell>
          <cell r="DF72">
            <v>6</v>
          </cell>
          <cell r="DG72"/>
          <cell r="DH72">
            <v>185</v>
          </cell>
          <cell r="DI72"/>
          <cell r="DJ72"/>
          <cell r="DK72"/>
          <cell r="DL72"/>
          <cell r="DM72"/>
          <cell r="DN72"/>
          <cell r="DO72"/>
          <cell r="DP72"/>
          <cell r="DQ72"/>
          <cell r="DR72"/>
          <cell r="DS72"/>
          <cell r="DT72"/>
          <cell r="DU72"/>
          <cell r="DV72"/>
          <cell r="DW72"/>
          <cell r="DX72"/>
          <cell r="DY72"/>
          <cell r="DZ72">
            <v>13875</v>
          </cell>
          <cell r="EA72">
            <v>555</v>
          </cell>
          <cell r="EB72">
            <v>11212.6</v>
          </cell>
          <cell r="EC72">
            <v>4416</v>
          </cell>
          <cell r="ED72">
            <v>2925</v>
          </cell>
          <cell r="EE72"/>
          <cell r="EF72"/>
          <cell r="EG72"/>
          <cell r="EH72"/>
          <cell r="EI72">
            <v>82182.720000000001</v>
          </cell>
          <cell r="EJ72">
            <v>28012.6</v>
          </cell>
          <cell r="EK72"/>
          <cell r="EL72">
            <v>29804.58</v>
          </cell>
          <cell r="EM72"/>
          <cell r="EN72"/>
          <cell r="EO72"/>
          <cell r="EP72"/>
          <cell r="EQ72"/>
          <cell r="ER72"/>
          <cell r="ES72"/>
          <cell r="ET72"/>
          <cell r="EU72"/>
          <cell r="EV72"/>
          <cell r="EW72"/>
          <cell r="EX72"/>
          <cell r="EY72"/>
          <cell r="EZ72"/>
          <cell r="FA72"/>
          <cell r="FB72"/>
          <cell r="FC72"/>
          <cell r="FD72" t="str">
            <v>web-form@smartsheet.com</v>
          </cell>
          <cell r="FE72">
            <v>45714.621550543983</v>
          </cell>
          <cell r="FF72" t="str">
            <v>web-form@smartsheet.com</v>
          </cell>
          <cell r="FG72">
            <v>45714.621550543983</v>
          </cell>
        </row>
        <row r="73">
          <cell r="B73" t="str">
            <v>OUR HOUSE OF CEDAR CITY</v>
          </cell>
          <cell r="C73">
            <v>863285437</v>
          </cell>
          <cell r="D73" t="str">
            <v>Daniel Pugmire</v>
          </cell>
          <cell r="E73" t="str">
            <v>daniel@salmg.com</v>
          </cell>
          <cell r="F73" t="str">
            <v>+1 (435) 753-7297</v>
          </cell>
          <cell r="G73" t="str">
            <v>T2016	Adult Residential Services – (Licensed Assisted Living Facility, Memory Care Unit); per diem
T2031	Adult Residential Services (Assisted Living Facilities Level I, Level II, &amp; Type N Facilities); per diem</v>
          </cell>
          <cell r="I73"/>
          <cell r="M73"/>
          <cell r="P73"/>
          <cell r="Q73"/>
          <cell r="R73"/>
          <cell r="S73"/>
          <cell r="T73"/>
          <cell r="U73"/>
          <cell r="V73"/>
          <cell r="W73"/>
          <cell r="X73"/>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t="str">
            <v>Yes</v>
          </cell>
          <cell r="BX73">
            <v>0.11</v>
          </cell>
          <cell r="BY73">
            <v>0</v>
          </cell>
          <cell r="BZ73">
            <v>0</v>
          </cell>
          <cell r="CA73">
            <v>21432</v>
          </cell>
          <cell r="CB73">
            <v>17630.16</v>
          </cell>
          <cell r="CC73">
            <v>84904.87</v>
          </cell>
          <cell r="CD73">
            <v>3740.09</v>
          </cell>
          <cell r="CE73">
            <v>103348.54</v>
          </cell>
          <cell r="CF73">
            <v>57</v>
          </cell>
          <cell r="CG73">
            <v>12361</v>
          </cell>
          <cell r="CH73">
            <v>1301</v>
          </cell>
          <cell r="CI73" t="str">
            <v>N/A</v>
          </cell>
          <cell r="CJ73"/>
          <cell r="CK73"/>
          <cell r="CL73"/>
          <cell r="CM73"/>
          <cell r="CN73"/>
          <cell r="CO73"/>
          <cell r="CP73"/>
          <cell r="CQ73"/>
          <cell r="CR73"/>
          <cell r="CS73"/>
          <cell r="CT73"/>
          <cell r="CU73"/>
          <cell r="CV73"/>
          <cell r="CW73" t="str">
            <v>Yes</v>
          </cell>
          <cell r="CX73">
            <v>0.06</v>
          </cell>
          <cell r="CY73">
            <v>0</v>
          </cell>
          <cell r="CZ73">
            <v>0</v>
          </cell>
          <cell r="DA73">
            <v>6768</v>
          </cell>
          <cell r="DB73">
            <v>5567.42</v>
          </cell>
          <cell r="DC73">
            <v>26812.07</v>
          </cell>
          <cell r="DD73">
            <v>1181.08</v>
          </cell>
          <cell r="DE73">
            <v>32636.38</v>
          </cell>
          <cell r="DF73">
            <v>18</v>
          </cell>
          <cell r="DG73">
            <v>3903</v>
          </cell>
          <cell r="DH73">
            <v>92</v>
          </cell>
          <cell r="DI73" t="str">
            <v>N/A</v>
          </cell>
          <cell r="DJ73"/>
          <cell r="DK73"/>
          <cell r="DL73"/>
          <cell r="DM73"/>
          <cell r="DN73"/>
          <cell r="DO73"/>
          <cell r="DP73"/>
          <cell r="DQ73"/>
          <cell r="DR73"/>
          <cell r="DS73"/>
          <cell r="DT73"/>
          <cell r="DU73"/>
          <cell r="DV73"/>
          <cell r="DW73"/>
          <cell r="DX73"/>
          <cell r="DY73"/>
          <cell r="DZ73">
            <v>653155.35</v>
          </cell>
          <cell r="EA73">
            <v>19069.48</v>
          </cell>
          <cell r="EB73">
            <v>88025</v>
          </cell>
          <cell r="EC73">
            <v>1484</v>
          </cell>
          <cell r="ED73">
            <v>0</v>
          </cell>
          <cell r="EE73">
            <v>0</v>
          </cell>
          <cell r="EF73">
            <v>0</v>
          </cell>
          <cell r="EG73" t="str">
            <v>N/A</v>
          </cell>
          <cell r="EH73" t="str">
            <v>N/A</v>
          </cell>
          <cell r="EI73">
            <v>2081107.32</v>
          </cell>
          <cell r="EJ73">
            <v>1241071</v>
          </cell>
          <cell r="EK73">
            <v>108247.07</v>
          </cell>
          <cell r="EL73">
            <v>511057.59</v>
          </cell>
          <cell r="EM73"/>
          <cell r="EN73"/>
          <cell r="EO73"/>
          <cell r="EP73"/>
          <cell r="EQ73"/>
          <cell r="ER73"/>
          <cell r="ES73"/>
          <cell r="ET73"/>
          <cell r="EU73"/>
          <cell r="EV73"/>
          <cell r="EW73"/>
          <cell r="EX73"/>
          <cell r="EY73"/>
          <cell r="EZ73"/>
          <cell r="FA73"/>
          <cell r="FB73"/>
          <cell r="FC73"/>
          <cell r="FD73" t="str">
            <v>web-form@smartsheet.com</v>
          </cell>
          <cell r="FE73">
            <v>45715.412759872685</v>
          </cell>
          <cell r="FF73" t="str">
            <v>web-form@smartsheet.com</v>
          </cell>
          <cell r="FG73">
            <v>45715.412759872685</v>
          </cell>
        </row>
        <row r="74">
          <cell r="B74" t="str">
            <v>WHISPER COVE ASSISTED LIVING AND MEMORY CARE</v>
          </cell>
          <cell r="C74">
            <v>1619520301</v>
          </cell>
          <cell r="D74" t="str">
            <v>Daniel Pugmire</v>
          </cell>
          <cell r="E74" t="str">
            <v>daniel@salmg.com</v>
          </cell>
          <cell r="F74" t="str">
            <v>+1 (435) 753-7297</v>
          </cell>
          <cell r="G74" t="str">
            <v>T2016	Adult Residential Services – (Licensed Assisted Living Facility, Memory Care Unit); per diem
T2031	Adult Residential Services (Assisted Living Facilities Level I, Level II, &amp; Type N Facilities); per diem</v>
          </cell>
          <cell r="I74"/>
          <cell r="M74"/>
          <cell r="P74"/>
          <cell r="Q74"/>
          <cell r="R74"/>
          <cell r="S74"/>
          <cell r="T74"/>
          <cell r="U74"/>
          <cell r="V74"/>
          <cell r="W74"/>
          <cell r="X74"/>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cell r="BE74"/>
          <cell r="BF74"/>
          <cell r="BG74"/>
          <cell r="BH74"/>
          <cell r="BI74"/>
          <cell r="BJ74"/>
          <cell r="BK74"/>
          <cell r="BL74"/>
          <cell r="BM74"/>
          <cell r="BN74"/>
          <cell r="BO74"/>
          <cell r="BP74"/>
          <cell r="BQ74"/>
          <cell r="BR74"/>
          <cell r="BS74"/>
          <cell r="BT74"/>
          <cell r="BU74"/>
          <cell r="BV74"/>
          <cell r="BW74" t="str">
            <v>Yes</v>
          </cell>
          <cell r="BX74">
            <v>0.06</v>
          </cell>
          <cell r="BY74">
            <v>0</v>
          </cell>
          <cell r="BZ74">
            <v>0</v>
          </cell>
          <cell r="CA74">
            <v>39816.730000000003</v>
          </cell>
          <cell r="CB74">
            <v>17736.53</v>
          </cell>
          <cell r="CC74">
            <v>112295.95</v>
          </cell>
          <cell r="CD74">
            <v>2763.91</v>
          </cell>
          <cell r="CE74">
            <v>162156.88</v>
          </cell>
          <cell r="CF74">
            <v>68</v>
          </cell>
          <cell r="CG74">
            <v>19245</v>
          </cell>
          <cell r="CH74">
            <v>1160</v>
          </cell>
          <cell r="CI74" t="str">
            <v>N/A</v>
          </cell>
          <cell r="CJ74"/>
          <cell r="CK74"/>
          <cell r="CL74"/>
          <cell r="CM74"/>
          <cell r="CN74"/>
          <cell r="CO74"/>
          <cell r="CP74"/>
          <cell r="CQ74"/>
          <cell r="CR74"/>
          <cell r="CS74"/>
          <cell r="CT74"/>
          <cell r="CU74"/>
          <cell r="CV74"/>
          <cell r="CW74" t="str">
            <v>No</v>
          </cell>
          <cell r="CX74">
            <v>0</v>
          </cell>
          <cell r="CY74">
            <v>0</v>
          </cell>
          <cell r="CZ74">
            <v>0</v>
          </cell>
          <cell r="DA74">
            <v>8783.1</v>
          </cell>
          <cell r="DB74">
            <v>3912.47</v>
          </cell>
          <cell r="DC74">
            <v>24771.16</v>
          </cell>
          <cell r="DD74">
            <v>609.69000000000005</v>
          </cell>
          <cell r="DE74">
            <v>35769.9</v>
          </cell>
          <cell r="DF74">
            <v>15</v>
          </cell>
          <cell r="DG74">
            <v>4245</v>
          </cell>
          <cell r="DH74">
            <v>0</v>
          </cell>
          <cell r="DI74" t="str">
            <v>N/A</v>
          </cell>
          <cell r="DJ74"/>
          <cell r="DK74"/>
          <cell r="DL74"/>
          <cell r="DM74"/>
          <cell r="DN74"/>
          <cell r="DO74"/>
          <cell r="DP74"/>
          <cell r="DQ74"/>
          <cell r="DR74"/>
          <cell r="DS74"/>
          <cell r="DT74"/>
          <cell r="DU74"/>
          <cell r="DV74"/>
          <cell r="DW74"/>
          <cell r="DX74"/>
          <cell r="DY74"/>
          <cell r="DZ74">
            <v>856029.93</v>
          </cell>
          <cell r="EA74">
            <v>23389.41</v>
          </cell>
          <cell r="EB74">
            <v>81585.22</v>
          </cell>
          <cell r="EC74">
            <v>1505</v>
          </cell>
          <cell r="ED74">
            <v>0</v>
          </cell>
          <cell r="EE74">
            <v>0</v>
          </cell>
          <cell r="EF74">
            <v>0</v>
          </cell>
          <cell r="EG74" t="str">
            <v>N/A</v>
          </cell>
          <cell r="EH74" t="str">
            <v>N/A</v>
          </cell>
          <cell r="EI74">
            <v>2728505.41</v>
          </cell>
          <cell r="EJ74">
            <v>1632275.73</v>
          </cell>
          <cell r="EK74">
            <v>158451.37</v>
          </cell>
          <cell r="EL74">
            <v>637137.98</v>
          </cell>
          <cell r="EM74"/>
          <cell r="EN74"/>
          <cell r="EO74"/>
          <cell r="EP74"/>
          <cell r="EQ74"/>
          <cell r="ER74"/>
          <cell r="ES74"/>
          <cell r="ET74"/>
          <cell r="EU74"/>
          <cell r="EV74"/>
          <cell r="EW74"/>
          <cell r="EX74"/>
          <cell r="EY74"/>
          <cell r="EZ74"/>
          <cell r="FA74"/>
          <cell r="FB74"/>
          <cell r="FC74"/>
          <cell r="FD74" t="str">
            <v>web-form@smartsheet.com</v>
          </cell>
          <cell r="FE74">
            <v>45715.424349016204</v>
          </cell>
          <cell r="FF74" t="str">
            <v>web-form@smartsheet.com</v>
          </cell>
          <cell r="FG74">
            <v>45715.424349016204</v>
          </cell>
        </row>
        <row r="75">
          <cell r="B75" t="str">
            <v>ACUMEN FISCAL AGENT</v>
          </cell>
          <cell r="C75">
            <v>1720145378</v>
          </cell>
          <cell r="D75" t="str">
            <v>Audra Solovi</v>
          </cell>
          <cell r="E75" t="str">
            <v>Audras@acumen2.net</v>
          </cell>
          <cell r="F75" t="str">
            <v>+1 (801) 849-3588</v>
          </cell>
          <cell r="G75" t="str">
            <v>S5125	Attendant Care Services or Personal attendant service, participant employed; per 15 minutes
S5130	Homemaker services; per 15 minutes
S5150	Respite care services or Respite care services – Unskilled; per 15 minutes
T2040	Financial Management Services; per 15 minutes</v>
          </cell>
          <cell r="I75"/>
          <cell r="M75"/>
          <cell r="P75"/>
          <cell r="Q75"/>
          <cell r="R75"/>
          <cell r="S75"/>
          <cell r="T75"/>
          <cell r="U75"/>
          <cell r="V75"/>
          <cell r="W75"/>
          <cell r="X75"/>
          <cell r="Y75"/>
          <cell r="Z75"/>
          <cell r="AA75"/>
          <cell r="AB75"/>
          <cell r="AC75"/>
          <cell r="AD75"/>
          <cell r="AE75"/>
          <cell r="AF75"/>
          <cell r="AG75"/>
          <cell r="AH75"/>
          <cell r="AI75"/>
          <cell r="AJ75" t="str">
            <v>Yes</v>
          </cell>
          <cell r="AK75">
            <v>1</v>
          </cell>
          <cell r="AL75">
            <v>4347305</v>
          </cell>
          <cell r="AM75" t="str">
            <v>Yes</v>
          </cell>
          <cell r="AN75">
            <v>1</v>
          </cell>
          <cell r="AO75">
            <v>2078</v>
          </cell>
          <cell r="AP75"/>
          <cell r="AQ75"/>
          <cell r="AR75"/>
          <cell r="AS75" t="str">
            <v>Yes</v>
          </cell>
          <cell r="AT75">
            <v>1</v>
          </cell>
          <cell r="AU75">
            <v>349</v>
          </cell>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cell r="DG75"/>
          <cell r="DH75"/>
          <cell r="DI75"/>
          <cell r="DJ75"/>
          <cell r="DK75"/>
          <cell r="DL75"/>
          <cell r="DM75"/>
          <cell r="DN75"/>
          <cell r="DO75"/>
          <cell r="DP75"/>
          <cell r="DQ75"/>
          <cell r="DR75"/>
          <cell r="DS75"/>
          <cell r="DT75"/>
          <cell r="DU75"/>
          <cell r="DV75"/>
          <cell r="DW75" t="str">
            <v>Yes</v>
          </cell>
          <cell r="DX75">
            <v>1</v>
          </cell>
          <cell r="DY75">
            <v>4258</v>
          </cell>
          <cell r="DZ75">
            <v>22424958</v>
          </cell>
          <cell r="EA75">
            <v>1148670</v>
          </cell>
          <cell r="EB75">
            <v>0</v>
          </cell>
          <cell r="EC75">
            <v>0</v>
          </cell>
          <cell r="ED75">
            <v>0</v>
          </cell>
          <cell r="EE75">
            <v>2598</v>
          </cell>
          <cell r="EF75">
            <v>0</v>
          </cell>
          <cell r="EG75" t="str">
            <v>N/A</v>
          </cell>
          <cell r="EH75" t="str">
            <v>Acumen is the passthrough entity for processing payroll on behalf of employers for their employees. We serve self directed Employers and we have no expenses related to this service. The employers are volunteers and do not get paid.  The employers we serve, we have no visibility to their costs besides their workers comp and taxes which we bill on their behalf. The taxes have been included in the data provided.  If there are costs associated outside of this we do not have visibility into this.  EVV Compliance may have associated costs.  There is a passthrough for fingerprinting costs for DSPD fingerprinting for background checks. Cost $20 for employees. DSPD can only reimburse $16 we cannot quantify the difference.   Paper timesheets may need to be printed, emailed and faxed which we don't have visibility into the costs associated for that either.
Workmans Compensation rate is 3.95% for the state of UT.</v>
          </cell>
          <cell r="EI75">
            <v>24731987</v>
          </cell>
          <cell r="EJ75">
            <v>6105965</v>
          </cell>
          <cell r="EK75">
            <v>1946892</v>
          </cell>
          <cell r="EL75">
            <v>350325</v>
          </cell>
          <cell r="EM75"/>
          <cell r="EN75"/>
          <cell r="EO75"/>
          <cell r="EP75"/>
          <cell r="EQ75" t="str">
            <v>Acumen is a passthrough entity for this service code on behalf of the employer for payment to the employees/caregivers.</v>
          </cell>
          <cell r="ER75" t="str">
            <v>Acumen is a passthrough entity for this service code on behalf of the employer for payment to the employees/caregivers.</v>
          </cell>
          <cell r="ES75"/>
          <cell r="ET75" t="str">
            <v>Acumen is a passthrough entity for this service code on behalf of the employer for payment to the employees/caregivers.</v>
          </cell>
          <cell r="EU75"/>
          <cell r="EV75"/>
          <cell r="EW75"/>
          <cell r="EX75"/>
          <cell r="EY75"/>
          <cell r="EZ75"/>
          <cell r="FA75"/>
          <cell r="FB75" t="str">
            <v>This is our only Direct Service code for our monthly FMS Services Fee.</v>
          </cell>
          <cell r="FC75"/>
          <cell r="FD75" t="str">
            <v>web-form@smartsheet.com</v>
          </cell>
          <cell r="FE75">
            <v>45715.509677349539</v>
          </cell>
          <cell r="FF75" t="str">
            <v>web-form@smartsheet.com</v>
          </cell>
          <cell r="FG75">
            <v>45715.509677349539</v>
          </cell>
        </row>
        <row r="76">
          <cell r="B76" t="str">
            <v>LEGACY HOUSE OF LOGAN</v>
          </cell>
          <cell r="C76">
            <v>1064248</v>
          </cell>
          <cell r="D76" t="str">
            <v>Tim Johnson</v>
          </cell>
          <cell r="E76" t="str">
            <v>TimothyJ@wslm.biz</v>
          </cell>
          <cell r="F76" t="str">
            <v>+1 (801) 269-0700</v>
          </cell>
          <cell r="G76" t="str">
            <v>T2016	Adult Residential Services – (Licensed Assisted Living Facility, Memory Care Unit); per diem
T2031	Adult Residential Services (Assisted Living Facilities Level I, Level II, &amp; Type N Facilities); per diem</v>
          </cell>
          <cell r="I76"/>
          <cell r="M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t="str">
            <v>Yes</v>
          </cell>
          <cell r="BX76">
            <v>6.1500000000000006E-2</v>
          </cell>
          <cell r="BY76">
            <v>158016</v>
          </cell>
          <cell r="BZ76">
            <v>314878.19</v>
          </cell>
          <cell r="CA76">
            <v>44555.4</v>
          </cell>
          <cell r="CB76">
            <v>80128.789999999994</v>
          </cell>
          <cell r="CC76">
            <v>160371.13</v>
          </cell>
          <cell r="CD76">
            <v>120473.5</v>
          </cell>
          <cell r="CE76">
            <v>254589.94</v>
          </cell>
          <cell r="CF76">
            <v>92</v>
          </cell>
          <cell r="CG76">
            <v>32593</v>
          </cell>
          <cell r="CH76">
            <v>2004</v>
          </cell>
          <cell r="CI76"/>
          <cell r="CJ76"/>
          <cell r="CK76"/>
          <cell r="CL76"/>
          <cell r="CM76"/>
          <cell r="CN76"/>
          <cell r="CO76"/>
          <cell r="CP76"/>
          <cell r="CQ76"/>
          <cell r="CR76"/>
          <cell r="CS76"/>
          <cell r="CT76"/>
          <cell r="CU76"/>
          <cell r="CV76"/>
          <cell r="CW76" t="str">
            <v>Yes</v>
          </cell>
          <cell r="CX76">
            <v>6.1500000000000006E-2</v>
          </cell>
          <cell r="CY76">
            <v>158016</v>
          </cell>
          <cell r="CZ76">
            <v>314878.19</v>
          </cell>
          <cell r="DA76">
            <v>44555.4</v>
          </cell>
          <cell r="DB76">
            <v>80128.789999999994</v>
          </cell>
          <cell r="DC76">
            <v>160371.13</v>
          </cell>
          <cell r="DD76">
            <v>120473.5</v>
          </cell>
          <cell r="DE76">
            <v>254589.94</v>
          </cell>
          <cell r="DF76">
            <v>92</v>
          </cell>
          <cell r="DG76">
            <v>32593</v>
          </cell>
          <cell r="DH76">
            <v>2004</v>
          </cell>
          <cell r="DI76"/>
          <cell r="DJ76"/>
          <cell r="DK76"/>
          <cell r="DL76"/>
          <cell r="DM76"/>
          <cell r="DN76"/>
          <cell r="DO76"/>
          <cell r="DP76"/>
          <cell r="DQ76"/>
          <cell r="DR76"/>
          <cell r="DS76"/>
          <cell r="DT76"/>
          <cell r="DU76"/>
          <cell r="DV76"/>
          <cell r="DW76"/>
          <cell r="DX76"/>
          <cell r="DY76"/>
          <cell r="DZ76">
            <v>1026974.21</v>
          </cell>
          <cell r="EA76">
            <v>95122.14</v>
          </cell>
          <cell r="EB76">
            <v>146526.37</v>
          </cell>
          <cell r="EC76">
            <v>4269.47</v>
          </cell>
          <cell r="ED76">
            <v>0</v>
          </cell>
          <cell r="EE76">
            <v>0</v>
          </cell>
          <cell r="EF76">
            <v>22176.68</v>
          </cell>
          <cell r="EG76" t="str">
            <v>Supplies, Travel, Training, Software</v>
          </cell>
          <cell r="EH76"/>
          <cell r="EI76">
            <v>4316664.34</v>
          </cell>
          <cell r="EJ76">
            <v>2112890.5299999998</v>
          </cell>
          <cell r="EK76">
            <v>342770.73</v>
          </cell>
          <cell r="EL76">
            <v>1744837.94</v>
          </cell>
          <cell r="EM76"/>
          <cell r="EN76"/>
          <cell r="EO76"/>
          <cell r="EP76"/>
          <cell r="EQ76"/>
          <cell r="ER76"/>
          <cell r="ES76"/>
          <cell r="ET76"/>
          <cell r="EU76"/>
          <cell r="EV76"/>
          <cell r="EW76"/>
          <cell r="EX76"/>
          <cell r="EY76"/>
          <cell r="EZ76"/>
          <cell r="FA76"/>
          <cell r="FB76"/>
          <cell r="FC76"/>
          <cell r="FD76" t="str">
            <v>web-form@smartsheet.com</v>
          </cell>
          <cell r="FE76">
            <v>45715.52075427083</v>
          </cell>
          <cell r="FF76" t="str">
            <v>web-form@smartsheet.com</v>
          </cell>
          <cell r="FG76">
            <v>45715.52075427083</v>
          </cell>
        </row>
        <row r="77">
          <cell r="B77" t="str">
            <v>LEGACY HOUSE OF OGDEN</v>
          </cell>
          <cell r="C77">
            <v>1030720</v>
          </cell>
          <cell r="D77" t="str">
            <v>Tim Johnson</v>
          </cell>
          <cell r="E77" t="str">
            <v>TimothyJ@wslm.biz</v>
          </cell>
          <cell r="F77" t="str">
            <v>+1 (801) 269-0700</v>
          </cell>
          <cell r="G77" t="str">
            <v>T2016	Adult Residential Services – (Licensed Assisted Living Facility, Memory Care Unit); per diem
T2031	Adult Residential Services (Assisted Living Facilities Level I, Level II, &amp; Type N Facilities); per diem</v>
          </cell>
          <cell r="I77"/>
          <cell r="M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cell r="BJ77"/>
          <cell r="BK77"/>
          <cell r="BL77"/>
          <cell r="BM77"/>
          <cell r="BN77"/>
          <cell r="BO77"/>
          <cell r="BP77"/>
          <cell r="BQ77"/>
          <cell r="BR77"/>
          <cell r="BS77"/>
          <cell r="BT77"/>
          <cell r="BU77"/>
          <cell r="BV77"/>
          <cell r="BW77" t="str">
            <v>Yes</v>
          </cell>
          <cell r="BX77">
            <v>0.11550000000000001</v>
          </cell>
          <cell r="BY77">
            <v>135348</v>
          </cell>
          <cell r="BZ77">
            <v>165237.93</v>
          </cell>
          <cell r="CA77">
            <v>46212.87</v>
          </cell>
          <cell r="CB77">
            <v>81158.23</v>
          </cell>
          <cell r="CC77">
            <v>109539.74</v>
          </cell>
          <cell r="CD77">
            <v>90852.41</v>
          </cell>
          <cell r="CE77">
            <v>258621.13</v>
          </cell>
          <cell r="CF77">
            <v>79</v>
          </cell>
          <cell r="CG77">
            <v>27618</v>
          </cell>
          <cell r="CH77">
            <v>3191</v>
          </cell>
          <cell r="CI77"/>
          <cell r="CJ77"/>
          <cell r="CK77"/>
          <cell r="CL77"/>
          <cell r="CM77"/>
          <cell r="CN77"/>
          <cell r="CO77"/>
          <cell r="CP77"/>
          <cell r="CQ77"/>
          <cell r="CR77"/>
          <cell r="CS77"/>
          <cell r="CT77"/>
          <cell r="CU77"/>
          <cell r="CV77"/>
          <cell r="CW77" t="str">
            <v>Yes</v>
          </cell>
          <cell r="CX77">
            <v>0.11550000000000001</v>
          </cell>
          <cell r="CY77">
            <v>135348</v>
          </cell>
          <cell r="CZ77">
            <v>165237.93</v>
          </cell>
          <cell r="DA77">
            <v>46212.87</v>
          </cell>
          <cell r="DB77">
            <v>81158.23</v>
          </cell>
          <cell r="DC77">
            <v>109539.74</v>
          </cell>
          <cell r="DD77">
            <v>90852.41</v>
          </cell>
          <cell r="DE77">
            <v>258621.13</v>
          </cell>
          <cell r="DF77">
            <v>79</v>
          </cell>
          <cell r="DG77">
            <v>27618</v>
          </cell>
          <cell r="DH77">
            <v>3191</v>
          </cell>
          <cell r="DI77"/>
          <cell r="DJ77"/>
          <cell r="DK77"/>
          <cell r="DL77"/>
          <cell r="DM77"/>
          <cell r="DN77"/>
          <cell r="DO77"/>
          <cell r="DP77"/>
          <cell r="DQ77"/>
          <cell r="DR77"/>
          <cell r="DS77"/>
          <cell r="DT77"/>
          <cell r="DU77"/>
          <cell r="DV77"/>
          <cell r="DW77"/>
          <cell r="DX77"/>
          <cell r="DY77"/>
          <cell r="DZ77">
            <v>928020.72</v>
          </cell>
          <cell r="EA77">
            <v>56600.66</v>
          </cell>
          <cell r="EB77">
            <v>144521</v>
          </cell>
          <cell r="EC77">
            <v>4269.47</v>
          </cell>
          <cell r="ED77">
            <v>0</v>
          </cell>
          <cell r="EE77">
            <v>0</v>
          </cell>
          <cell r="EF77">
            <v>14378.73</v>
          </cell>
          <cell r="EG77" t="str">
            <v>Supplies, Travel, Training, Software</v>
          </cell>
          <cell r="EH77"/>
          <cell r="EI77">
            <v>4070518.55</v>
          </cell>
          <cell r="EJ77">
            <v>2405896.98</v>
          </cell>
          <cell r="EK77">
            <v>540761.94999999995</v>
          </cell>
          <cell r="EL77">
            <v>1677137.82</v>
          </cell>
          <cell r="EM77"/>
          <cell r="EN77"/>
          <cell r="EO77"/>
          <cell r="EP77"/>
          <cell r="EQ77"/>
          <cell r="ER77"/>
          <cell r="ES77"/>
          <cell r="ET77"/>
          <cell r="EU77"/>
          <cell r="EV77"/>
          <cell r="EW77"/>
          <cell r="EX77"/>
          <cell r="EY77"/>
          <cell r="EZ77"/>
          <cell r="FA77"/>
          <cell r="FB77"/>
          <cell r="FC77"/>
          <cell r="FD77" t="str">
            <v>web-form@smartsheet.com</v>
          </cell>
          <cell r="FE77">
            <v>45715.522502824075</v>
          </cell>
          <cell r="FF77" t="str">
            <v>web-form@smartsheet.com</v>
          </cell>
          <cell r="FG77">
            <v>45715.522502824075</v>
          </cell>
        </row>
        <row r="78">
          <cell r="B78" t="str">
            <v>LEGACY HOUSE OF BOUNTIFUL</v>
          </cell>
          <cell r="C78">
            <v>1064525</v>
          </cell>
          <cell r="D78" t="str">
            <v>Tim Johnson</v>
          </cell>
          <cell r="E78" t="str">
            <v>TimothyJ@wslm.biz</v>
          </cell>
          <cell r="F78" t="str">
            <v>+1 (801) 269-0700</v>
          </cell>
          <cell r="G78" t="str">
            <v>T2016	Adult Residential Services – (Licensed Assisted Living Facility, Memory Care Unit); per diem
T2031	Adult Residential Services (Assisted Living Facilities Level I, Level II, &amp; Type N Facilities); per diem</v>
          </cell>
          <cell r="I78"/>
          <cell r="M78"/>
          <cell r="P78"/>
          <cell r="Q78"/>
          <cell r="R78"/>
          <cell r="S78"/>
          <cell r="T78"/>
          <cell r="U78"/>
          <cell r="V78"/>
          <cell r="W78"/>
          <cell r="X78"/>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cell r="BE78"/>
          <cell r="BF78"/>
          <cell r="BG78"/>
          <cell r="BH78"/>
          <cell r="BI78"/>
          <cell r="BJ78"/>
          <cell r="BK78"/>
          <cell r="BL78"/>
          <cell r="BM78"/>
          <cell r="BN78"/>
          <cell r="BO78"/>
          <cell r="BP78"/>
          <cell r="BQ78"/>
          <cell r="BR78"/>
          <cell r="BS78"/>
          <cell r="BT78"/>
          <cell r="BU78"/>
          <cell r="BV78"/>
          <cell r="BW78" t="str">
            <v>Yes</v>
          </cell>
          <cell r="BX78">
            <v>0.1038</v>
          </cell>
          <cell r="BY78">
            <v>155508</v>
          </cell>
          <cell r="BZ78">
            <v>518676</v>
          </cell>
          <cell r="CA78">
            <v>63246.239999999998</v>
          </cell>
          <cell r="CB78">
            <v>149457.49</v>
          </cell>
          <cell r="CC78">
            <v>125407.98</v>
          </cell>
          <cell r="CD78">
            <v>84006.58</v>
          </cell>
          <cell r="CE78">
            <v>320147.87</v>
          </cell>
          <cell r="CF78">
            <v>105</v>
          </cell>
          <cell r="CG78">
            <v>37091</v>
          </cell>
          <cell r="CH78">
            <v>3850</v>
          </cell>
          <cell r="CI78"/>
          <cell r="CJ78"/>
          <cell r="CK78"/>
          <cell r="CL78"/>
          <cell r="CM78"/>
          <cell r="CN78"/>
          <cell r="CO78"/>
          <cell r="CP78"/>
          <cell r="CQ78"/>
          <cell r="CR78"/>
          <cell r="CS78"/>
          <cell r="CT78"/>
          <cell r="CU78"/>
          <cell r="CV78"/>
          <cell r="CW78" t="str">
            <v>Yes</v>
          </cell>
          <cell r="CX78">
            <v>0.1038</v>
          </cell>
          <cell r="CY78">
            <v>155508</v>
          </cell>
          <cell r="CZ78">
            <v>518676</v>
          </cell>
          <cell r="DA78">
            <v>63246.239999999998</v>
          </cell>
          <cell r="DB78">
            <v>149457.49</v>
          </cell>
          <cell r="DC78">
            <v>125407.98</v>
          </cell>
          <cell r="DD78">
            <v>84006.58</v>
          </cell>
          <cell r="DE78">
            <v>320147.87</v>
          </cell>
          <cell r="DF78">
            <v>105</v>
          </cell>
          <cell r="DG78">
            <v>37091</v>
          </cell>
          <cell r="DH78">
            <v>3850</v>
          </cell>
          <cell r="DI78"/>
          <cell r="DJ78"/>
          <cell r="DK78"/>
          <cell r="DL78"/>
          <cell r="DM78"/>
          <cell r="DN78"/>
          <cell r="DO78"/>
          <cell r="DP78"/>
          <cell r="DQ78"/>
          <cell r="DR78"/>
          <cell r="DS78"/>
          <cell r="DT78"/>
          <cell r="DU78"/>
          <cell r="DV78"/>
          <cell r="DW78"/>
          <cell r="DX78"/>
          <cell r="DY78"/>
          <cell r="DZ78">
            <v>1311158.05</v>
          </cell>
          <cell r="EA78">
            <v>78169.72</v>
          </cell>
          <cell r="EB78">
            <v>141357.76000000001</v>
          </cell>
          <cell r="EC78">
            <v>4269.47</v>
          </cell>
          <cell r="ED78">
            <v>0</v>
          </cell>
          <cell r="EE78">
            <v>0</v>
          </cell>
          <cell r="EF78">
            <v>27076.78</v>
          </cell>
          <cell r="EG78" t="str">
            <v>Supplies, Travel, Training, Software</v>
          </cell>
          <cell r="EH78"/>
          <cell r="EI78">
            <v>4480453.83</v>
          </cell>
          <cell r="EJ78">
            <v>2570980.46</v>
          </cell>
          <cell r="EK78">
            <v>343741.59</v>
          </cell>
          <cell r="EL78">
            <v>2383189.41</v>
          </cell>
          <cell r="EM78"/>
          <cell r="EN78"/>
          <cell r="EO78"/>
          <cell r="EP78"/>
          <cell r="EQ78"/>
          <cell r="ER78"/>
          <cell r="ES78"/>
          <cell r="ET78"/>
          <cell r="EU78"/>
          <cell r="EV78"/>
          <cell r="EW78"/>
          <cell r="EX78"/>
          <cell r="EY78"/>
          <cell r="EZ78"/>
          <cell r="FA78"/>
          <cell r="FB78"/>
          <cell r="FC78"/>
          <cell r="FD78" t="str">
            <v>web-form@smartsheet.com</v>
          </cell>
          <cell r="FE78">
            <v>45715.524607962965</v>
          </cell>
          <cell r="FF78" t="str">
            <v>web-form@smartsheet.com</v>
          </cell>
          <cell r="FG78">
            <v>45715.524607962965</v>
          </cell>
        </row>
        <row r="79">
          <cell r="B79" t="str">
            <v>LEGACY HOUSE ASSISTED LIV</v>
          </cell>
          <cell r="C79">
            <v>1064499</v>
          </cell>
          <cell r="D79" t="str">
            <v>Tim Johnson</v>
          </cell>
          <cell r="E79" t="str">
            <v>TimothyJ@wslm.biz</v>
          </cell>
          <cell r="F79" t="str">
            <v>+1 (801) 269-0700</v>
          </cell>
          <cell r="G79" t="str">
            <v>T2016	Adult Residential Services – (Licensed Assisted Living Facility, Memory Care Unit); per diem
T2031	Adult Residential Services (Assisted Living Facilities Level I, Level II, &amp; Type N Facilities); per diem</v>
          </cell>
          <cell r="I79"/>
          <cell r="M79"/>
          <cell r="P79"/>
          <cell r="Q79"/>
          <cell r="R79"/>
          <cell r="S79"/>
          <cell r="T79"/>
          <cell r="U79"/>
          <cell r="V79"/>
          <cell r="W79"/>
          <cell r="X79"/>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cell r="BE79"/>
          <cell r="BF79"/>
          <cell r="BG79"/>
          <cell r="BH79"/>
          <cell r="BI79"/>
          <cell r="BJ79"/>
          <cell r="BK79"/>
          <cell r="BL79"/>
          <cell r="BM79"/>
          <cell r="BN79"/>
          <cell r="BO79"/>
          <cell r="BP79"/>
          <cell r="BQ79"/>
          <cell r="BR79"/>
          <cell r="BS79"/>
          <cell r="BT79"/>
          <cell r="BU79"/>
          <cell r="BV79"/>
          <cell r="BW79" t="str">
            <v>Yes</v>
          </cell>
          <cell r="BX79">
            <v>7.8899999999999998E-2</v>
          </cell>
          <cell r="BY79">
            <v>226104</v>
          </cell>
          <cell r="BZ79">
            <v>129885.24</v>
          </cell>
          <cell r="CA79">
            <v>62416.26</v>
          </cell>
          <cell r="CB79">
            <v>70454.16</v>
          </cell>
          <cell r="CC79">
            <v>137027.01</v>
          </cell>
          <cell r="CD79">
            <v>86751.98</v>
          </cell>
          <cell r="CE79">
            <v>266115.33</v>
          </cell>
          <cell r="CF79">
            <v>76</v>
          </cell>
          <cell r="CG79">
            <v>23591</v>
          </cell>
          <cell r="CH79">
            <v>1861</v>
          </cell>
          <cell r="CI79"/>
          <cell r="CJ79"/>
          <cell r="CK79"/>
          <cell r="CL79"/>
          <cell r="CM79"/>
          <cell r="CN79"/>
          <cell r="CO79"/>
          <cell r="CP79"/>
          <cell r="CQ79"/>
          <cell r="CR79"/>
          <cell r="CS79"/>
          <cell r="CT79"/>
          <cell r="CU79"/>
          <cell r="CV79"/>
          <cell r="CW79" t="str">
            <v>Yes</v>
          </cell>
          <cell r="CX79">
            <v>7.8899999999999998E-2</v>
          </cell>
          <cell r="CY79">
            <v>226104</v>
          </cell>
          <cell r="CZ79">
            <v>129885.24</v>
          </cell>
          <cell r="DA79">
            <v>62416.26</v>
          </cell>
          <cell r="DB79">
            <v>70454.16</v>
          </cell>
          <cell r="DC79">
            <v>137027.01</v>
          </cell>
          <cell r="DD79">
            <v>86751.98</v>
          </cell>
          <cell r="DE79">
            <v>266115.33</v>
          </cell>
          <cell r="DF79">
            <v>76</v>
          </cell>
          <cell r="DG79">
            <v>23591</v>
          </cell>
          <cell r="DH79">
            <v>1861</v>
          </cell>
          <cell r="DI79"/>
          <cell r="DJ79"/>
          <cell r="DK79"/>
          <cell r="DL79"/>
          <cell r="DM79"/>
          <cell r="DN79"/>
          <cell r="DO79"/>
          <cell r="DP79"/>
          <cell r="DQ79"/>
          <cell r="DR79"/>
          <cell r="DS79"/>
          <cell r="DT79"/>
          <cell r="DU79"/>
          <cell r="DV79"/>
          <cell r="DW79"/>
          <cell r="DX79"/>
          <cell r="DY79"/>
          <cell r="DZ79">
            <v>915181.54</v>
          </cell>
          <cell r="EA79">
            <v>50154.76</v>
          </cell>
          <cell r="EB79">
            <v>103879.46</v>
          </cell>
          <cell r="EC79">
            <v>4269.47</v>
          </cell>
          <cell r="ED79">
            <v>0</v>
          </cell>
          <cell r="EE79">
            <v>0</v>
          </cell>
          <cell r="EF79">
            <v>25845.07</v>
          </cell>
          <cell r="EG79" t="str">
            <v>Supplies, Travel, Training, Software</v>
          </cell>
          <cell r="EH79"/>
          <cell r="EI79">
            <v>3316888.1</v>
          </cell>
          <cell r="EJ79">
            <v>1799713.01</v>
          </cell>
          <cell r="EK79">
            <v>394008.15</v>
          </cell>
          <cell r="EL79">
            <v>1802793.88</v>
          </cell>
          <cell r="EM79"/>
          <cell r="EN79"/>
          <cell r="EO79"/>
          <cell r="EP79"/>
          <cell r="EQ79"/>
          <cell r="ER79"/>
          <cell r="ES79"/>
          <cell r="ET79"/>
          <cell r="EU79"/>
          <cell r="EV79"/>
          <cell r="EW79"/>
          <cell r="EX79"/>
          <cell r="EY79"/>
          <cell r="EZ79"/>
          <cell r="FA79"/>
          <cell r="FB79"/>
          <cell r="FC79"/>
          <cell r="FD79" t="str">
            <v>web-form@smartsheet.com</v>
          </cell>
          <cell r="FE79">
            <v>45715.526661458331</v>
          </cell>
          <cell r="FF79" t="str">
            <v>web-form@smartsheet.com</v>
          </cell>
          <cell r="FG79">
            <v>45715.526661458331</v>
          </cell>
        </row>
        <row r="80">
          <cell r="B80" t="str">
            <v>LEGACY HOUSE TAYLORSVILLE</v>
          </cell>
          <cell r="C80">
            <v>1030394</v>
          </cell>
          <cell r="D80" t="str">
            <v>Tim Johnson</v>
          </cell>
          <cell r="E80" t="str">
            <v>Timothyj@wslm.biz</v>
          </cell>
          <cell r="F80" t="str">
            <v>+1 (801) 269-0700</v>
          </cell>
          <cell r="G80" t="str">
            <v>T2016	Adult Residential Services – (Licensed Assisted Living Facility, Memory Care Unit); per diem
T2031	Adult Residential Services (Assisted Living Facilities Level I, Level II, &amp; Type N Facilities); per diem</v>
          </cell>
          <cell r="I80"/>
          <cell r="M80"/>
          <cell r="P80"/>
          <cell r="Q80"/>
          <cell r="R80"/>
          <cell r="S80"/>
          <cell r="T80"/>
          <cell r="U80"/>
          <cell r="V80"/>
          <cell r="W80"/>
          <cell r="X80"/>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cell r="BE80"/>
          <cell r="BF80"/>
          <cell r="BG80"/>
          <cell r="BH80"/>
          <cell r="BI80"/>
          <cell r="BJ80"/>
          <cell r="BK80"/>
          <cell r="BL80"/>
          <cell r="BM80"/>
          <cell r="BN80"/>
          <cell r="BO80"/>
          <cell r="BP80"/>
          <cell r="BQ80"/>
          <cell r="BR80"/>
          <cell r="BS80"/>
          <cell r="BT80"/>
          <cell r="BU80"/>
          <cell r="BV80"/>
          <cell r="BW80" t="str">
            <v>Yes</v>
          </cell>
          <cell r="BX80">
            <v>0.19239999999999999</v>
          </cell>
          <cell r="BY80">
            <v>130632</v>
          </cell>
          <cell r="BZ80">
            <v>171966.05</v>
          </cell>
          <cell r="CA80">
            <v>75319.56</v>
          </cell>
          <cell r="CB80">
            <v>76829.69</v>
          </cell>
          <cell r="CC80">
            <v>132957.29</v>
          </cell>
          <cell r="CD80">
            <v>144635.88</v>
          </cell>
          <cell r="CE80">
            <v>224950.25</v>
          </cell>
          <cell r="CF80">
            <v>93</v>
          </cell>
          <cell r="CG80">
            <v>32113</v>
          </cell>
          <cell r="CH80">
            <v>6178</v>
          </cell>
          <cell r="CI80"/>
          <cell r="CJ80"/>
          <cell r="CK80"/>
          <cell r="CL80"/>
          <cell r="CM80"/>
          <cell r="CN80"/>
          <cell r="CO80"/>
          <cell r="CP80"/>
          <cell r="CQ80"/>
          <cell r="CR80"/>
          <cell r="CS80"/>
          <cell r="CT80"/>
          <cell r="CU80"/>
          <cell r="CV80"/>
          <cell r="CW80" t="str">
            <v>Yes</v>
          </cell>
          <cell r="CX80">
            <v>0.19239999999999999</v>
          </cell>
          <cell r="CY80">
            <v>130632</v>
          </cell>
          <cell r="CZ80">
            <v>171966.05</v>
          </cell>
          <cell r="DA80">
            <v>75319.56</v>
          </cell>
          <cell r="DB80">
            <v>76829.69</v>
          </cell>
          <cell r="DC80">
            <v>132957.29</v>
          </cell>
          <cell r="DD80">
            <v>144635.88</v>
          </cell>
          <cell r="DE80">
            <v>224950.25</v>
          </cell>
          <cell r="DF80">
            <v>93</v>
          </cell>
          <cell r="DG80">
            <v>32113</v>
          </cell>
          <cell r="DH80">
            <v>6178</v>
          </cell>
          <cell r="DI80"/>
          <cell r="DJ80"/>
          <cell r="DK80"/>
          <cell r="DL80"/>
          <cell r="DM80"/>
          <cell r="DN80"/>
          <cell r="DO80"/>
          <cell r="DP80"/>
          <cell r="DQ80"/>
          <cell r="DR80"/>
          <cell r="DS80"/>
          <cell r="DT80"/>
          <cell r="DU80"/>
          <cell r="DV80"/>
          <cell r="DW80"/>
          <cell r="DX80"/>
          <cell r="DY80"/>
          <cell r="DZ80">
            <v>1186796.77</v>
          </cell>
          <cell r="EA80">
            <v>68301.7</v>
          </cell>
          <cell r="EB80">
            <v>175867.76</v>
          </cell>
          <cell r="EC80">
            <v>4269.47</v>
          </cell>
          <cell r="ED80">
            <v>0</v>
          </cell>
          <cell r="EE80">
            <v>0</v>
          </cell>
          <cell r="EF80">
            <v>32572.25</v>
          </cell>
          <cell r="EG80" t="str">
            <v>Supplies, Travel, Training, Software</v>
          </cell>
          <cell r="EH80"/>
          <cell r="EI80">
            <v>4008134.7</v>
          </cell>
          <cell r="EJ80">
            <v>2273999.5699999998</v>
          </cell>
          <cell r="EK80">
            <v>610729.29</v>
          </cell>
          <cell r="EL80">
            <v>2036875.6</v>
          </cell>
          <cell r="EM80"/>
          <cell r="EN80"/>
          <cell r="EO80"/>
          <cell r="EP80"/>
          <cell r="EQ80"/>
          <cell r="ER80"/>
          <cell r="ES80"/>
          <cell r="ET80"/>
          <cell r="EU80"/>
          <cell r="EV80"/>
          <cell r="EW80"/>
          <cell r="EX80"/>
          <cell r="EY80"/>
          <cell r="EZ80"/>
          <cell r="FA80"/>
          <cell r="FB80"/>
          <cell r="FC80"/>
          <cell r="FD80" t="str">
            <v>web-form@smartsheet.com</v>
          </cell>
          <cell r="FE80">
            <v>45715.528518310188</v>
          </cell>
          <cell r="FF80" t="str">
            <v>web-form@smartsheet.com</v>
          </cell>
          <cell r="FG80">
            <v>45715.528518310188</v>
          </cell>
        </row>
        <row r="81">
          <cell r="B81" t="str">
            <v>LEGACY HOUSE OF SPANISH FRK</v>
          </cell>
          <cell r="C81">
            <v>1052804</v>
          </cell>
          <cell r="D81" t="str">
            <v>Tim Johnson</v>
          </cell>
          <cell r="E81" t="str">
            <v>TimothyJ@wslm.biz</v>
          </cell>
          <cell r="F81" t="str">
            <v>+1 (801) 269-0700</v>
          </cell>
          <cell r="G81" t="str">
            <v>T2016	Adult Residential Services – (Licensed Assisted Living Facility, Memory Care Unit); per diem
T2031	Adult Residential Services (Assisted Living Facilities Level I, Level II, &amp; Type N Facilities); per diem</v>
          </cell>
          <cell r="I81"/>
          <cell r="M81"/>
          <cell r="P81"/>
          <cell r="Q81"/>
          <cell r="R81"/>
          <cell r="S81"/>
          <cell r="T81"/>
          <cell r="U81"/>
          <cell r="V81"/>
          <cell r="W81"/>
          <cell r="X81"/>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cell r="BE81"/>
          <cell r="BF81"/>
          <cell r="BG81"/>
          <cell r="BH81"/>
          <cell r="BI81"/>
          <cell r="BJ81"/>
          <cell r="BK81"/>
          <cell r="BL81"/>
          <cell r="BM81"/>
          <cell r="BN81"/>
          <cell r="BO81"/>
          <cell r="BP81"/>
          <cell r="BQ81"/>
          <cell r="BR81"/>
          <cell r="BS81"/>
          <cell r="BT81"/>
          <cell r="BU81"/>
          <cell r="BV81"/>
          <cell r="BW81" t="str">
            <v>Yes</v>
          </cell>
          <cell r="BX81">
            <v>0.20300000000000001</v>
          </cell>
          <cell r="BY81">
            <v>301476</v>
          </cell>
          <cell r="BZ81">
            <v>322473.40000000002</v>
          </cell>
          <cell r="CA81">
            <v>49223.08</v>
          </cell>
          <cell r="CB81">
            <v>88986.96</v>
          </cell>
          <cell r="CC81">
            <v>133034.49</v>
          </cell>
          <cell r="CD81">
            <v>53917.69</v>
          </cell>
          <cell r="CE81">
            <v>298826.75</v>
          </cell>
          <cell r="CF81">
            <v>96</v>
          </cell>
          <cell r="CG81">
            <v>32746</v>
          </cell>
          <cell r="CH81">
            <v>6649</v>
          </cell>
          <cell r="CI81"/>
          <cell r="CJ81"/>
          <cell r="CK81"/>
          <cell r="CL81"/>
          <cell r="CM81"/>
          <cell r="CN81"/>
          <cell r="CO81"/>
          <cell r="CP81"/>
          <cell r="CQ81"/>
          <cell r="CR81"/>
          <cell r="CS81"/>
          <cell r="CT81"/>
          <cell r="CU81"/>
          <cell r="CV81"/>
          <cell r="CW81" t="str">
            <v>Yes</v>
          </cell>
          <cell r="CX81">
            <v>0.20300000000000001</v>
          </cell>
          <cell r="CY81">
            <v>301476</v>
          </cell>
          <cell r="CZ81">
            <v>322473.40000000002</v>
          </cell>
          <cell r="DA81">
            <v>49223.08</v>
          </cell>
          <cell r="DB81">
            <v>88986.96</v>
          </cell>
          <cell r="DC81">
            <v>133034.49</v>
          </cell>
          <cell r="DD81">
            <v>53917.69</v>
          </cell>
          <cell r="DE81">
            <v>298826.75</v>
          </cell>
          <cell r="DF81">
            <v>96</v>
          </cell>
          <cell r="DG81">
            <v>32746</v>
          </cell>
          <cell r="DH81">
            <v>6649</v>
          </cell>
          <cell r="DI81"/>
          <cell r="DJ81"/>
          <cell r="DK81"/>
          <cell r="DL81"/>
          <cell r="DM81"/>
          <cell r="DN81"/>
          <cell r="DO81"/>
          <cell r="DP81"/>
          <cell r="DQ81"/>
          <cell r="DR81"/>
          <cell r="DS81"/>
          <cell r="DT81"/>
          <cell r="DU81"/>
          <cell r="DV81"/>
          <cell r="DW81"/>
          <cell r="DX81"/>
          <cell r="DY81"/>
          <cell r="DZ81">
            <v>1178281.8600000001</v>
          </cell>
          <cell r="EA81">
            <v>67294.600000000006</v>
          </cell>
          <cell r="EB81">
            <v>147325.16</v>
          </cell>
          <cell r="EC81">
            <v>4269.47</v>
          </cell>
          <cell r="ED81">
            <v>0</v>
          </cell>
          <cell r="EE81">
            <v>0</v>
          </cell>
          <cell r="EF81">
            <v>24242.080000000002</v>
          </cell>
          <cell r="EG81" t="str">
            <v>Supplies, Travel, Training, Software</v>
          </cell>
          <cell r="EH81"/>
          <cell r="EI81">
            <v>3813397.91</v>
          </cell>
          <cell r="EJ81">
            <v>2185093.7200000002</v>
          </cell>
          <cell r="EK81">
            <v>551039.31000000006</v>
          </cell>
          <cell r="EL81">
            <v>1942837.57</v>
          </cell>
          <cell r="EM81"/>
          <cell r="EN81"/>
          <cell r="EO81"/>
          <cell r="EP81"/>
          <cell r="EQ81"/>
          <cell r="ER81"/>
          <cell r="ES81"/>
          <cell r="ET81"/>
          <cell r="EU81"/>
          <cell r="EV81"/>
          <cell r="EW81"/>
          <cell r="EX81"/>
          <cell r="EY81"/>
          <cell r="EZ81"/>
          <cell r="FA81"/>
          <cell r="FB81"/>
          <cell r="FC81"/>
          <cell r="FD81" t="str">
            <v>web-form@smartsheet.com</v>
          </cell>
          <cell r="FE81">
            <v>45715.529907002317</v>
          </cell>
          <cell r="FF81" t="str">
            <v>web-form@smartsheet.com</v>
          </cell>
          <cell r="FG81">
            <v>45715.529907002317</v>
          </cell>
        </row>
        <row r="82">
          <cell r="B82" t="str">
            <v>LEGACY HOUSE OF PARK LANE</v>
          </cell>
          <cell r="C82">
            <v>3012790</v>
          </cell>
          <cell r="D82" t="str">
            <v>Tim Johnson</v>
          </cell>
          <cell r="E82" t="str">
            <v>TimothyJ@wslm.biz</v>
          </cell>
          <cell r="F82" t="str">
            <v>+1 (801) 269-0700</v>
          </cell>
          <cell r="G82" t="str">
            <v>T2016	Adult Residential Services – (Licensed Assisted Living Facility, Memory Care Unit); per diem
T2031	Adult Residential Services (Assisted Living Facilities Level I, Level II, &amp; Type N Facilities); per diem</v>
          </cell>
          <cell r="I82"/>
          <cell r="M82"/>
          <cell r="P82"/>
          <cell r="Q82"/>
          <cell r="R82"/>
          <cell r="S82"/>
          <cell r="T82"/>
          <cell r="U82"/>
          <cell r="V82"/>
          <cell r="W82"/>
          <cell r="X82"/>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t="str">
            <v>Yes</v>
          </cell>
          <cell r="BX82">
            <v>9.6799999999999997E-2</v>
          </cell>
          <cell r="BY82">
            <v>453000</v>
          </cell>
          <cell r="BZ82">
            <v>1450001.47</v>
          </cell>
          <cell r="CA82">
            <v>123929.32</v>
          </cell>
          <cell r="CB82">
            <v>118273.85</v>
          </cell>
          <cell r="CC82">
            <v>187425.24</v>
          </cell>
          <cell r="CD82">
            <v>129942.85</v>
          </cell>
          <cell r="CE82">
            <v>442979.74</v>
          </cell>
          <cell r="CF82">
            <v>133</v>
          </cell>
          <cell r="CG82">
            <v>45259</v>
          </cell>
          <cell r="CH82">
            <v>4379</v>
          </cell>
          <cell r="CI82"/>
          <cell r="CJ82"/>
          <cell r="CK82"/>
          <cell r="CL82"/>
          <cell r="CM82"/>
          <cell r="CN82"/>
          <cell r="CO82"/>
          <cell r="CP82"/>
          <cell r="CQ82"/>
          <cell r="CR82"/>
          <cell r="CS82"/>
          <cell r="CT82"/>
          <cell r="CU82"/>
          <cell r="CV82"/>
          <cell r="CW82" t="str">
            <v>Yes</v>
          </cell>
          <cell r="CX82">
            <v>9.6799999999999997E-2</v>
          </cell>
          <cell r="CY82">
            <v>453000</v>
          </cell>
          <cell r="CZ82">
            <v>1450001.47</v>
          </cell>
          <cell r="DA82">
            <v>123929.32</v>
          </cell>
          <cell r="DB82">
            <v>118273.85</v>
          </cell>
          <cell r="DC82">
            <v>187425.24</v>
          </cell>
          <cell r="DD82">
            <v>129942.85</v>
          </cell>
          <cell r="DE82">
            <v>442979.74</v>
          </cell>
          <cell r="DF82">
            <v>133</v>
          </cell>
          <cell r="DG82">
            <v>45259</v>
          </cell>
          <cell r="DH82">
            <v>4379</v>
          </cell>
          <cell r="DI82"/>
          <cell r="DJ82"/>
          <cell r="DK82"/>
          <cell r="DL82"/>
          <cell r="DM82"/>
          <cell r="DN82"/>
          <cell r="DO82"/>
          <cell r="DP82"/>
          <cell r="DQ82"/>
          <cell r="DR82"/>
          <cell r="DS82"/>
          <cell r="DT82"/>
          <cell r="DU82"/>
          <cell r="DV82"/>
          <cell r="DW82"/>
          <cell r="DX82"/>
          <cell r="DY82"/>
          <cell r="DZ82">
            <v>1599105.71</v>
          </cell>
          <cell r="EA82">
            <v>86621.34</v>
          </cell>
          <cell r="EB82">
            <v>200076.04</v>
          </cell>
          <cell r="EC82">
            <v>6347.49</v>
          </cell>
          <cell r="ED82">
            <v>15436.64</v>
          </cell>
          <cell r="EE82">
            <v>0</v>
          </cell>
          <cell r="EF82">
            <v>36225.79</v>
          </cell>
          <cell r="EG82" t="str">
            <v>Supplies, Travel, Training, Software</v>
          </cell>
          <cell r="EH82"/>
          <cell r="EI82">
            <v>5394160.1299999999</v>
          </cell>
          <cell r="EJ82">
            <v>3087116.6</v>
          </cell>
          <cell r="EK82">
            <v>673697.07</v>
          </cell>
          <cell r="EL82">
            <v>2877491.82</v>
          </cell>
          <cell r="EM82"/>
          <cell r="EN82"/>
          <cell r="EO82"/>
          <cell r="EP82"/>
          <cell r="EQ82"/>
          <cell r="ER82"/>
          <cell r="ES82"/>
          <cell r="ET82"/>
          <cell r="EU82"/>
          <cell r="EV82"/>
          <cell r="EW82"/>
          <cell r="EX82"/>
          <cell r="EY82"/>
          <cell r="EZ82"/>
          <cell r="FA82"/>
          <cell r="FB82"/>
          <cell r="FC82"/>
          <cell r="FD82" t="str">
            <v>web-form@smartsheet.com</v>
          </cell>
          <cell r="FE82">
            <v>45715.53158790509</v>
          </cell>
          <cell r="FF82" t="str">
            <v>web-form@smartsheet.com</v>
          </cell>
          <cell r="FG82">
            <v>45715.53158790509</v>
          </cell>
        </row>
        <row r="83">
          <cell r="B83" t="str">
            <v>LEGACY RETIREMENT CENTER</v>
          </cell>
          <cell r="C83">
            <v>1030759</v>
          </cell>
          <cell r="D83" t="str">
            <v>Tim Johnson</v>
          </cell>
          <cell r="E83" t="str">
            <v>TimothyJ@wslm.biz</v>
          </cell>
          <cell r="F83" t="str">
            <v>+1 (801) 269-0700</v>
          </cell>
          <cell r="G83" t="str">
            <v>T2031	Adult Residential Services (Assisted Living Facilities Level I, Level II, &amp; Type N Facilities); per diem</v>
          </cell>
          <cell r="I83"/>
          <cell r="M83"/>
          <cell r="P83"/>
          <cell r="Q83"/>
          <cell r="R83"/>
          <cell r="S83"/>
          <cell r="T83"/>
          <cell r="U83"/>
          <cell r="V83"/>
          <cell r="W83"/>
          <cell r="X83"/>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cell r="BE83"/>
          <cell r="BF83"/>
          <cell r="BG83"/>
          <cell r="BH83"/>
          <cell r="BI83"/>
          <cell r="BJ83"/>
          <cell r="BK83"/>
          <cell r="BL83"/>
          <cell r="BM83"/>
          <cell r="BN83"/>
          <cell r="BO83"/>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t="str">
            <v>Yes</v>
          </cell>
          <cell r="CX83">
            <v>3.1699999999999999E-2</v>
          </cell>
          <cell r="CY83">
            <v>175152</v>
          </cell>
          <cell r="CZ83">
            <v>761234.76</v>
          </cell>
          <cell r="DA83">
            <v>130147.2</v>
          </cell>
          <cell r="DB83">
            <v>150110.29</v>
          </cell>
          <cell r="DC83">
            <v>196936.85</v>
          </cell>
          <cell r="DD83">
            <v>44473.61</v>
          </cell>
          <cell r="DE83">
            <v>400021.69</v>
          </cell>
          <cell r="DF83">
            <v>162</v>
          </cell>
          <cell r="DG83">
            <v>56248</v>
          </cell>
          <cell r="DH83">
            <v>1783</v>
          </cell>
          <cell r="DI83"/>
          <cell r="DJ83"/>
          <cell r="DK83"/>
          <cell r="DL83"/>
          <cell r="DM83"/>
          <cell r="DN83"/>
          <cell r="DO83"/>
          <cell r="DP83"/>
          <cell r="DQ83"/>
          <cell r="DR83"/>
          <cell r="DS83"/>
          <cell r="DT83"/>
          <cell r="DU83"/>
          <cell r="DV83"/>
          <cell r="DW83"/>
          <cell r="DX83"/>
          <cell r="DY83"/>
          <cell r="DZ83">
            <v>833213.42</v>
          </cell>
          <cell r="EA83">
            <v>50111.96</v>
          </cell>
          <cell r="EB83">
            <v>0</v>
          </cell>
          <cell r="EC83">
            <v>0</v>
          </cell>
          <cell r="ED83">
            <v>0</v>
          </cell>
          <cell r="EE83">
            <v>0</v>
          </cell>
          <cell r="EF83">
            <v>0</v>
          </cell>
          <cell r="EG83"/>
          <cell r="EH83"/>
          <cell r="EI83">
            <v>3210007.68</v>
          </cell>
          <cell r="EJ83">
            <v>1495684.7</v>
          </cell>
          <cell r="EK83">
            <v>469662.39</v>
          </cell>
          <cell r="EL83">
            <v>2832323.8</v>
          </cell>
          <cell r="EM83"/>
          <cell r="EN83"/>
          <cell r="EO83"/>
          <cell r="EP83"/>
          <cell r="EQ83"/>
          <cell r="ER83"/>
          <cell r="ES83"/>
          <cell r="ET83"/>
          <cell r="EU83"/>
          <cell r="EV83"/>
          <cell r="EW83"/>
          <cell r="EX83"/>
          <cell r="EY83"/>
          <cell r="EZ83"/>
          <cell r="FA83"/>
          <cell r="FB83"/>
          <cell r="FC83"/>
          <cell r="FD83" t="str">
            <v>web-form@smartsheet.com</v>
          </cell>
          <cell r="FE83">
            <v>45715.533125810187</v>
          </cell>
          <cell r="FF83" t="str">
            <v>web-form@smartsheet.com</v>
          </cell>
          <cell r="FG83">
            <v>45715.533125810187</v>
          </cell>
        </row>
        <row r="84">
          <cell r="B84" t="str">
            <v>LEGACY VILLAGE HEALTHCARE</v>
          </cell>
          <cell r="C84">
            <v>1881866499</v>
          </cell>
          <cell r="D84" t="str">
            <v>Tim Johnson</v>
          </cell>
          <cell r="E84" t="str">
            <v>TimothyJ@wslm.biz</v>
          </cell>
          <cell r="F84" t="str">
            <v>+1 (801) 269-0700</v>
          </cell>
          <cell r="G84" t="str">
            <v>T2016	Adult Residential Services – (Licensed Assisted Living Facility, Memory Care Unit); per diem</v>
          </cell>
          <cell r="I84"/>
          <cell r="M84"/>
          <cell r="P84"/>
          <cell r="Q84"/>
          <cell r="R84"/>
          <cell r="S84"/>
          <cell r="T84"/>
          <cell r="U84"/>
          <cell r="V84"/>
          <cell r="W84"/>
          <cell r="X84"/>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cell r="BE84"/>
          <cell r="BF84"/>
          <cell r="BG84"/>
          <cell r="BH84"/>
          <cell r="BI84"/>
          <cell r="BJ84"/>
          <cell r="BK84"/>
          <cell r="BL84"/>
          <cell r="BM84"/>
          <cell r="BN84"/>
          <cell r="BO84"/>
          <cell r="BP84"/>
          <cell r="BQ84"/>
          <cell r="BR84"/>
          <cell r="BS84"/>
          <cell r="BT84"/>
          <cell r="BU84"/>
          <cell r="BV84"/>
          <cell r="BW84" t="str">
            <v>Yes</v>
          </cell>
          <cell r="BX84">
            <v>0.1174</v>
          </cell>
          <cell r="BY84">
            <v>205668</v>
          </cell>
          <cell r="BZ84">
            <v>394935.95</v>
          </cell>
          <cell r="CA84">
            <v>102979.56</v>
          </cell>
          <cell r="CB84">
            <v>92886.46</v>
          </cell>
          <cell r="CC84">
            <v>149713.41</v>
          </cell>
          <cell r="CD84">
            <v>55092.59</v>
          </cell>
          <cell r="CE84">
            <v>263338.98</v>
          </cell>
          <cell r="CF84">
            <v>77</v>
          </cell>
          <cell r="CG84">
            <v>13541</v>
          </cell>
          <cell r="CH84">
            <v>1590</v>
          </cell>
          <cell r="CI84"/>
          <cell r="CJ84"/>
          <cell r="CK84"/>
          <cell r="CL84"/>
          <cell r="CM84"/>
          <cell r="CN84"/>
          <cell r="CO84"/>
          <cell r="CP84"/>
          <cell r="CQ84"/>
          <cell r="CR84"/>
          <cell r="CS84"/>
          <cell r="CT84"/>
          <cell r="CU84"/>
          <cell r="CV84"/>
          <cell r="CW84"/>
          <cell r="CX84"/>
          <cell r="CY84"/>
          <cell r="CZ84"/>
          <cell r="DA84"/>
          <cell r="DB84"/>
          <cell r="DC84"/>
          <cell r="DD84"/>
          <cell r="DE84"/>
          <cell r="DF84"/>
          <cell r="DG84"/>
          <cell r="DH84"/>
          <cell r="DI84"/>
          <cell r="DJ84"/>
          <cell r="DK84"/>
          <cell r="DL84"/>
          <cell r="DM84"/>
          <cell r="DN84"/>
          <cell r="DO84"/>
          <cell r="DP84"/>
          <cell r="DQ84"/>
          <cell r="DR84"/>
          <cell r="DS84"/>
          <cell r="DT84"/>
          <cell r="DU84"/>
          <cell r="DV84"/>
          <cell r="DW84"/>
          <cell r="DX84"/>
          <cell r="DY84"/>
          <cell r="DZ84">
            <v>861909.18</v>
          </cell>
          <cell r="EA84">
            <v>48477.7</v>
          </cell>
          <cell r="EB84">
            <v>148900.63</v>
          </cell>
          <cell r="EC84">
            <v>4269.47</v>
          </cell>
          <cell r="ED84">
            <v>0</v>
          </cell>
          <cell r="EE84">
            <v>0</v>
          </cell>
          <cell r="EF84">
            <v>11513.19</v>
          </cell>
          <cell r="EG84" t="str">
            <v>Supplies, Travel, Training, Software</v>
          </cell>
          <cell r="EH84"/>
          <cell r="EI84">
            <v>10297373.85</v>
          </cell>
          <cell r="EJ84">
            <v>5389289.3700000001</v>
          </cell>
          <cell r="EK84">
            <v>1379748.3</v>
          </cell>
          <cell r="EL84">
            <v>2732342.44</v>
          </cell>
          <cell r="EM84"/>
          <cell r="EN84"/>
          <cell r="EO84"/>
          <cell r="EP84"/>
          <cell r="EQ84"/>
          <cell r="ER84"/>
          <cell r="ES84"/>
          <cell r="ET84"/>
          <cell r="EU84"/>
          <cell r="EV84"/>
          <cell r="EW84"/>
          <cell r="EX84"/>
          <cell r="EY84"/>
          <cell r="EZ84"/>
          <cell r="FA84"/>
          <cell r="FB84"/>
          <cell r="FC84"/>
          <cell r="FD84" t="str">
            <v>web-form@smartsheet.com</v>
          </cell>
          <cell r="FE84">
            <v>45715.534345347223</v>
          </cell>
          <cell r="FF84" t="str">
            <v>web-form@smartsheet.com</v>
          </cell>
          <cell r="FG84">
            <v>45715.534345347223</v>
          </cell>
        </row>
        <row r="85">
          <cell r="B85" t="str">
            <v>LEGACY VILLAGE OF ST. GEORGE LLC</v>
          </cell>
          <cell r="C85">
            <v>4316591</v>
          </cell>
          <cell r="D85" t="str">
            <v>Tim Johnson</v>
          </cell>
          <cell r="E85" t="str">
            <v>TimothyJ@wslm.biz</v>
          </cell>
          <cell r="F85" t="str">
            <v>+1 (801) 269-0700</v>
          </cell>
          <cell r="G85" t="str">
            <v>T2016	Adult Residential Services – (Licensed Assisted Living Facility, Memory Care Unit); per diem
T2031	Adult Residential Services (Assisted Living Facilities Level I, Level II, &amp; Type N Facilities); per diem</v>
          </cell>
          <cell r="I85"/>
          <cell r="M85"/>
          <cell r="P85"/>
          <cell r="Q85"/>
          <cell r="R85"/>
          <cell r="S85"/>
          <cell r="T85"/>
          <cell r="U85"/>
          <cell r="V85"/>
          <cell r="W85"/>
          <cell r="X85"/>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cell r="BE85"/>
          <cell r="BF85"/>
          <cell r="BG85"/>
          <cell r="BH85"/>
          <cell r="BI85"/>
          <cell r="BJ85"/>
          <cell r="BK85"/>
          <cell r="BL85"/>
          <cell r="BM85"/>
          <cell r="BN85"/>
          <cell r="BO85"/>
          <cell r="BP85"/>
          <cell r="BQ85"/>
          <cell r="BR85"/>
          <cell r="BS85"/>
          <cell r="BT85"/>
          <cell r="BU85"/>
          <cell r="BV85"/>
          <cell r="BW85" t="str">
            <v>Yes</v>
          </cell>
          <cell r="BX85">
            <v>4.7999999999999996E-3</v>
          </cell>
          <cell r="BY85">
            <v>1420646</v>
          </cell>
          <cell r="BZ85">
            <v>3584001.35</v>
          </cell>
          <cell r="CA85">
            <v>152812.04999999999</v>
          </cell>
          <cell r="CB85">
            <v>199803</v>
          </cell>
          <cell r="CC85">
            <v>288654.36</v>
          </cell>
          <cell r="CD85">
            <v>80584.44</v>
          </cell>
          <cell r="CE85">
            <v>636490.18999999994</v>
          </cell>
          <cell r="CF85">
            <v>255</v>
          </cell>
          <cell r="CG85">
            <v>63104</v>
          </cell>
          <cell r="CH85">
            <v>306</v>
          </cell>
          <cell r="CI85"/>
          <cell r="CJ85"/>
          <cell r="CK85"/>
          <cell r="CL85"/>
          <cell r="CM85"/>
          <cell r="CN85"/>
          <cell r="CO85"/>
          <cell r="CP85"/>
          <cell r="CQ85"/>
          <cell r="CR85"/>
          <cell r="CS85"/>
          <cell r="CT85"/>
          <cell r="CU85"/>
          <cell r="CV85"/>
          <cell r="CW85" t="str">
            <v>Yes</v>
          </cell>
          <cell r="CX85">
            <v>4.7999999999999996E-3</v>
          </cell>
          <cell r="CY85">
            <v>1420646</v>
          </cell>
          <cell r="CZ85">
            <v>3584001.35</v>
          </cell>
          <cell r="DA85">
            <v>152812.04999999999</v>
          </cell>
          <cell r="DB85">
            <v>199803</v>
          </cell>
          <cell r="DC85">
            <v>288654.36</v>
          </cell>
          <cell r="DD85">
            <v>80584.44</v>
          </cell>
          <cell r="DE85">
            <v>636490.18999999994</v>
          </cell>
          <cell r="DF85">
            <v>255</v>
          </cell>
          <cell r="DG85">
            <v>63104</v>
          </cell>
          <cell r="DH85">
            <v>306</v>
          </cell>
          <cell r="DI85"/>
          <cell r="DJ85"/>
          <cell r="DK85"/>
          <cell r="DL85"/>
          <cell r="DM85"/>
          <cell r="DN85"/>
          <cell r="DO85"/>
          <cell r="DP85"/>
          <cell r="DQ85"/>
          <cell r="DR85"/>
          <cell r="DS85"/>
          <cell r="DT85"/>
          <cell r="DU85"/>
          <cell r="DV85"/>
          <cell r="DW85"/>
          <cell r="DX85"/>
          <cell r="DY85"/>
          <cell r="DZ85">
            <v>1594187.1</v>
          </cell>
          <cell r="EA85">
            <v>80156.990000000005</v>
          </cell>
          <cell r="EB85">
            <v>203519.49</v>
          </cell>
          <cell r="EC85">
            <v>6349.47</v>
          </cell>
          <cell r="ED85">
            <v>0</v>
          </cell>
          <cell r="EE85">
            <v>0</v>
          </cell>
          <cell r="EF85">
            <v>34165.599999999999</v>
          </cell>
          <cell r="EG85" t="str">
            <v>Supplies, Travel, Training, Software</v>
          </cell>
          <cell r="EH85"/>
          <cell r="EI85">
            <v>6854000.6399999997</v>
          </cell>
          <cell r="EJ85">
            <v>3980626.52</v>
          </cell>
          <cell r="EK85">
            <v>894798.37</v>
          </cell>
          <cell r="EL85">
            <v>4171645.28</v>
          </cell>
          <cell r="EM85"/>
          <cell r="EN85"/>
          <cell r="EO85"/>
          <cell r="EP85"/>
          <cell r="EQ85"/>
          <cell r="ER85"/>
          <cell r="ES85"/>
          <cell r="ET85"/>
          <cell r="EU85"/>
          <cell r="EV85"/>
          <cell r="EW85"/>
          <cell r="EX85"/>
          <cell r="EY85"/>
          <cell r="EZ85"/>
          <cell r="FA85"/>
          <cell r="FB85"/>
          <cell r="FC85"/>
          <cell r="FD85" t="str">
            <v>web-form@smartsheet.com</v>
          </cell>
          <cell r="FE85">
            <v>45715.536288784722</v>
          </cell>
          <cell r="FF85" t="str">
            <v>web-form@smartsheet.com</v>
          </cell>
          <cell r="FG85">
            <v>45715.536288784722</v>
          </cell>
        </row>
        <row r="86">
          <cell r="B86" t="str">
            <v>BROOKLYN CREEK</v>
          </cell>
          <cell r="C86">
            <v>5301222902</v>
          </cell>
          <cell r="D86" t="str">
            <v>Russell Massey</v>
          </cell>
          <cell r="E86" t="str">
            <v>russell@brooklyncreek.com</v>
          </cell>
          <cell r="F86" t="str">
            <v>+1 (480) 309-4806</v>
          </cell>
          <cell r="G86" t="str">
            <v>H0038	Personal Budget Assistance; per 15 minutes
Other services or operations not listed above</v>
          </cell>
          <cell r="I86"/>
          <cell r="L86" t="str">
            <v>Yes</v>
          </cell>
          <cell r="M86">
            <v>1</v>
          </cell>
          <cell r="N86">
            <v>72</v>
          </cell>
          <cell r="O86" t="str">
            <v>none</v>
          </cell>
          <cell r="P86"/>
          <cell r="Q86"/>
          <cell r="R86"/>
          <cell r="S86"/>
          <cell r="T86"/>
          <cell r="U86"/>
          <cell r="V86"/>
          <cell r="W86"/>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cell r="DQ86"/>
          <cell r="DR86"/>
          <cell r="DS86"/>
          <cell r="DT86"/>
          <cell r="DU86"/>
          <cell r="DV86"/>
          <cell r="DW86"/>
          <cell r="DX86"/>
          <cell r="DY86"/>
          <cell r="DZ86">
            <v>540</v>
          </cell>
          <cell r="EA86">
            <v>18</v>
          </cell>
          <cell r="EB86">
            <v>0</v>
          </cell>
          <cell r="EC86">
            <v>0</v>
          </cell>
          <cell r="ED86">
            <v>0</v>
          </cell>
          <cell r="EE86">
            <v>0</v>
          </cell>
          <cell r="EF86">
            <v>0</v>
          </cell>
          <cell r="EG86"/>
          <cell r="EH86"/>
          <cell r="EI86">
            <v>253540</v>
          </cell>
          <cell r="EJ86">
            <v>202000</v>
          </cell>
          <cell r="EK86">
            <v>10053</v>
          </cell>
          <cell r="EL86">
            <v>7000</v>
          </cell>
          <cell r="EM86">
            <v>268407</v>
          </cell>
          <cell r="EN86"/>
          <cell r="EO86"/>
          <cell r="EP86"/>
          <cell r="EQ86"/>
          <cell r="ER86"/>
          <cell r="ES86"/>
          <cell r="ET86"/>
          <cell r="EU86"/>
          <cell r="EV86"/>
          <cell r="EW86"/>
          <cell r="EX86"/>
          <cell r="EY86"/>
          <cell r="EZ86"/>
          <cell r="FA86"/>
          <cell r="FB86"/>
          <cell r="FC86"/>
          <cell r="FD86" t="str">
            <v>web-form@smartsheet.com</v>
          </cell>
          <cell r="FE86">
            <v>45715.783609293983</v>
          </cell>
          <cell r="FF86" t="str">
            <v>web-form@smartsheet.com</v>
          </cell>
          <cell r="FG86">
            <v>45715.783609293983</v>
          </cell>
        </row>
        <row r="87">
          <cell r="B87" t="str">
            <v>Morning Sun Financial Services of Utah LLC</v>
          </cell>
          <cell r="C87">
            <v>1083730899</v>
          </cell>
          <cell r="D87" t="str">
            <v>Monica Ziemke</v>
          </cell>
          <cell r="E87" t="str">
            <v>mziemke@orionassoc.net</v>
          </cell>
          <cell r="F87" t="str">
            <v>+1 (763) 450-7910</v>
          </cell>
          <cell r="G87" t="str">
            <v>S5125	Attendant Care Services or Personal attendant service, participant employed; per 15 minutes
S5130	Homemaker services; per 15 minutes
S5150	Respite care services or Respite care services – Unskilled; per 15 minutes
S5170	Home Delivered Meals or Supplemental Meals (Liquid and Solid)
T1005	Respite care services; per 15 minutes
T2040	Financial Management Services; per 15 minutes</v>
          </cell>
          <cell r="I87"/>
          <cell r="M87"/>
          <cell r="P87"/>
          <cell r="Q87"/>
          <cell r="R87"/>
          <cell r="S87"/>
          <cell r="T87"/>
          <cell r="U87"/>
          <cell r="V87"/>
          <cell r="W87"/>
          <cell r="X87"/>
          <cell r="Y87"/>
          <cell r="Z87"/>
          <cell r="AA87"/>
          <cell r="AB87"/>
          <cell r="AC87"/>
          <cell r="AD87"/>
          <cell r="AE87"/>
          <cell r="AF87"/>
          <cell r="AG87"/>
          <cell r="AH87"/>
          <cell r="AI87"/>
          <cell r="AJ87" t="str">
            <v>Yes</v>
          </cell>
          <cell r="AK87">
            <v>1</v>
          </cell>
          <cell r="AL87">
            <v>1004671</v>
          </cell>
          <cell r="AM87" t="str">
            <v>Yes</v>
          </cell>
          <cell r="AN87">
            <v>1</v>
          </cell>
          <cell r="AO87">
            <v>18050</v>
          </cell>
          <cell r="AP87"/>
          <cell r="AQ87"/>
          <cell r="AR87"/>
          <cell r="AS87" t="str">
            <v>Yes</v>
          </cell>
          <cell r="AT87">
            <v>1</v>
          </cell>
          <cell r="AU87">
            <v>16147</v>
          </cell>
          <cell r="AV87" t="str">
            <v>Yes</v>
          </cell>
          <cell r="AW87">
            <v>1</v>
          </cell>
          <cell r="AX87">
            <v>2125</v>
          </cell>
          <cell r="AY87"/>
          <cell r="AZ87"/>
          <cell r="BA87"/>
          <cell r="BB87" t="str">
            <v>Yes</v>
          </cell>
          <cell r="BC87">
            <v>1</v>
          </cell>
          <cell r="BD87">
            <v>13045</v>
          </cell>
          <cell r="BE87"/>
          <cell r="BF87"/>
          <cell r="BG87"/>
          <cell r="BH87"/>
          <cell r="BI87"/>
          <cell r="BJ87"/>
          <cell r="BK87"/>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cell r="DG87"/>
          <cell r="DH87"/>
          <cell r="DI87"/>
          <cell r="DJ87"/>
          <cell r="DK87"/>
          <cell r="DL87"/>
          <cell r="DM87"/>
          <cell r="DN87"/>
          <cell r="DO87"/>
          <cell r="DP87"/>
          <cell r="DQ87"/>
          <cell r="DR87"/>
          <cell r="DS87"/>
          <cell r="DT87"/>
          <cell r="DU87"/>
          <cell r="DV87"/>
          <cell r="DW87" t="str">
            <v>Yes</v>
          </cell>
          <cell r="DX87">
            <v>1</v>
          </cell>
          <cell r="DY87">
            <v>4984</v>
          </cell>
          <cell r="DZ87">
            <v>3658481</v>
          </cell>
          <cell r="EA87">
            <v>262978</v>
          </cell>
          <cell r="EB87">
            <v>0</v>
          </cell>
          <cell r="EC87">
            <v>0</v>
          </cell>
          <cell r="ED87">
            <v>0</v>
          </cell>
          <cell r="EE87">
            <v>0</v>
          </cell>
          <cell r="EF87">
            <v>0</v>
          </cell>
          <cell r="EG87"/>
          <cell r="EH87"/>
          <cell r="EI87">
            <v>23377549</v>
          </cell>
          <cell r="EJ87">
            <v>17871935</v>
          </cell>
          <cell r="EK87">
            <v>2786365</v>
          </cell>
          <cell r="EL87">
            <v>1187522</v>
          </cell>
          <cell r="EM87"/>
          <cell r="EN87"/>
          <cell r="EO87"/>
          <cell r="EP87"/>
          <cell r="EQ87"/>
          <cell r="ER87"/>
          <cell r="ES87"/>
          <cell r="ET87"/>
          <cell r="EU87" t="str">
            <v>2125 checks written for purchase of meal cards and meal supplements for consumers.  We don't have a number of meals served.</v>
          </cell>
          <cell r="EV87"/>
          <cell r="EW87"/>
          <cell r="EX87"/>
          <cell r="EY87"/>
          <cell r="EZ87"/>
          <cell r="FA87"/>
          <cell r="FB87" t="str">
            <v>FMS Fees, 1 unit = 1 monthly fee</v>
          </cell>
          <cell r="FC87"/>
          <cell r="FD87" t="str">
            <v>web-form@smartsheet.com</v>
          </cell>
          <cell r="FE87">
            <v>45716.425458993057</v>
          </cell>
          <cell r="FF87" t="str">
            <v>web-form@smartsheet.com</v>
          </cell>
          <cell r="FG87">
            <v>45716.425458993057</v>
          </cell>
        </row>
        <row r="88">
          <cell r="B88" t="str">
            <v>GUNNISON VALLEY HHA AW</v>
          </cell>
          <cell r="C88">
            <v>1437210572</v>
          </cell>
          <cell r="D88" t="str">
            <v>Linda Barson</v>
          </cell>
          <cell r="E88" t="str">
            <v>lindab@gvhomecare.org</v>
          </cell>
          <cell r="F88" t="str">
            <v>+1 (435) 528-2156</v>
          </cell>
          <cell r="G88" t="str">
            <v>S5130	Homemaker services; per 15 minutes
S5150	Respite care services or Respite care services – Unskilled; per 15 minutes
T1021	Supportive Maintenance, home health aide or Home Health Aide or Certif Nurse Assist, per Visit</v>
          </cell>
          <cell r="I88"/>
          <cell r="M88"/>
          <cell r="P88"/>
          <cell r="Q88"/>
          <cell r="R88"/>
          <cell r="S88"/>
          <cell r="T88"/>
          <cell r="U88"/>
          <cell r="V88"/>
          <cell r="W88"/>
          <cell r="X88"/>
          <cell r="Y88"/>
          <cell r="Z88"/>
          <cell r="AA88"/>
          <cell r="AB88"/>
          <cell r="AC88"/>
          <cell r="AD88"/>
          <cell r="AE88"/>
          <cell r="AF88"/>
          <cell r="AG88"/>
          <cell r="AH88"/>
          <cell r="AI88"/>
          <cell r="AJ88"/>
          <cell r="AK88"/>
          <cell r="AL88"/>
          <cell r="AM88" t="str">
            <v>Yes</v>
          </cell>
          <cell r="AN88">
            <v>0.125</v>
          </cell>
          <cell r="AO88">
            <v>3436</v>
          </cell>
          <cell r="AP88"/>
          <cell r="AQ88"/>
          <cell r="AR88"/>
          <cell r="AS88" t="str">
            <v>No</v>
          </cell>
          <cell r="AT88">
            <v>0</v>
          </cell>
          <cell r="AU88">
            <v>89</v>
          </cell>
          <cell r="AV88"/>
          <cell r="AW88"/>
          <cell r="AX88"/>
          <cell r="AY88"/>
          <cell r="AZ88"/>
          <cell r="BA88"/>
          <cell r="BB88"/>
          <cell r="BC88"/>
          <cell r="BD88"/>
          <cell r="BE88"/>
          <cell r="BF88"/>
          <cell r="BG88"/>
          <cell r="BH88"/>
          <cell r="BI88"/>
          <cell r="BJ88"/>
          <cell r="BK88" t="str">
            <v>Yes</v>
          </cell>
          <cell r="BL88">
            <v>0.8</v>
          </cell>
          <cell r="BM88">
            <v>1865</v>
          </cell>
          <cell r="BN88">
            <v>60.2</v>
          </cell>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cell r="DG88"/>
          <cell r="DH88"/>
          <cell r="DI88"/>
          <cell r="DJ88"/>
          <cell r="DK88"/>
          <cell r="DL88"/>
          <cell r="DM88"/>
          <cell r="DN88"/>
          <cell r="DO88"/>
          <cell r="DP88"/>
          <cell r="DQ88"/>
          <cell r="DR88"/>
          <cell r="DS88"/>
          <cell r="DT88"/>
          <cell r="DU88"/>
          <cell r="DV88"/>
          <cell r="DW88"/>
          <cell r="DX88"/>
          <cell r="DY88"/>
          <cell r="DZ88">
            <v>53947</v>
          </cell>
          <cell r="EA88">
            <v>2629.5</v>
          </cell>
          <cell r="EB88">
            <v>12741.91</v>
          </cell>
          <cell r="EC88">
            <v>325.8</v>
          </cell>
          <cell r="ED88">
            <v>0</v>
          </cell>
          <cell r="EE88">
            <v>28675.29</v>
          </cell>
          <cell r="EF88">
            <v>17130.560000000001</v>
          </cell>
          <cell r="EG88" t="str">
            <v>Training for Nurses and Aide. Managers time to prep for training.</v>
          </cell>
          <cell r="EH88"/>
          <cell r="EI88">
            <v>1591444</v>
          </cell>
          <cell r="EJ88">
            <v>929499</v>
          </cell>
          <cell r="EK88">
            <v>337735</v>
          </cell>
          <cell r="EL88">
            <v>440602.58</v>
          </cell>
          <cell r="EM88"/>
          <cell r="EN88"/>
          <cell r="EO88"/>
          <cell r="EP88"/>
          <cell r="EQ88"/>
          <cell r="ER88"/>
          <cell r="ES88"/>
          <cell r="ET88" t="str">
            <v>Currently only using this for VA Client</v>
          </cell>
          <cell r="EU88"/>
          <cell r="EV88"/>
          <cell r="EW88"/>
          <cell r="EX88"/>
          <cell r="EY88" t="str">
            <v>Ave length of visits are in minutes</v>
          </cell>
          <cell r="EZ88"/>
          <cell r="FA88"/>
          <cell r="FB88"/>
          <cell r="FC88"/>
          <cell r="FD88" t="str">
            <v>web-form@smartsheet.com</v>
          </cell>
          <cell r="FE88">
            <v>45716.453750659719</v>
          </cell>
          <cell r="FF88" t="str">
            <v>web-form@smartsheet.com</v>
          </cell>
          <cell r="FG88">
            <v>45716.453750659719</v>
          </cell>
        </row>
        <row r="89">
          <cell r="B89" t="str">
            <v>COUNTRY VIEW ASSIST LVNG</v>
          </cell>
          <cell r="C89">
            <v>1063819761</v>
          </cell>
          <cell r="D89" t="str">
            <v>Laina Andreasen</v>
          </cell>
          <cell r="E89" t="str">
            <v>director@countryviewliving.com</v>
          </cell>
          <cell r="F89" t="str">
            <v>+1 (801) 822-8185</v>
          </cell>
          <cell r="G89" t="str">
            <v>T2031	Adult Residential Services (Assisted Living Facilities Level I, Level II, &amp; Type N Facilities); per diem</v>
          </cell>
          <cell r="I89"/>
          <cell r="M89"/>
          <cell r="P89"/>
          <cell r="Q89"/>
          <cell r="R89"/>
          <cell r="S89"/>
          <cell r="T89"/>
          <cell r="U89"/>
          <cell r="V89"/>
          <cell r="W89"/>
          <cell r="X89"/>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t="str">
            <v>Yes</v>
          </cell>
          <cell r="CX89">
            <v>1</v>
          </cell>
          <cell r="CY89">
            <v>4483</v>
          </cell>
          <cell r="CZ89">
            <v>10000</v>
          </cell>
          <cell r="DA89">
            <v>20264.73</v>
          </cell>
          <cell r="DB89">
            <v>24000</v>
          </cell>
          <cell r="DC89">
            <v>29534.65</v>
          </cell>
          <cell r="DD89">
            <v>53901.53</v>
          </cell>
          <cell r="DE89">
            <v>55762.83</v>
          </cell>
          <cell r="DF89">
            <v>25</v>
          </cell>
          <cell r="DG89">
            <v>16</v>
          </cell>
          <cell r="DH89">
            <v>365</v>
          </cell>
          <cell r="DI89"/>
          <cell r="DJ89"/>
          <cell r="DK89"/>
          <cell r="DL89"/>
          <cell r="DM89"/>
          <cell r="DN89"/>
          <cell r="DO89"/>
          <cell r="DP89"/>
          <cell r="DQ89"/>
          <cell r="DR89"/>
          <cell r="DS89"/>
          <cell r="DT89"/>
          <cell r="DU89"/>
          <cell r="DV89"/>
          <cell r="DW89"/>
          <cell r="DX89"/>
          <cell r="DY89"/>
          <cell r="DZ89">
            <v>114193.55</v>
          </cell>
          <cell r="EA89">
            <v>11862.5</v>
          </cell>
          <cell r="EB89">
            <v>110025.96</v>
          </cell>
          <cell r="EC89">
            <v>3008.31</v>
          </cell>
          <cell r="ED89">
            <v>72000</v>
          </cell>
          <cell r="EE89">
            <v>0</v>
          </cell>
          <cell r="EF89">
            <v>5000</v>
          </cell>
          <cell r="EG89" t="str">
            <v>supplies, training, licensing fees, etc.</v>
          </cell>
          <cell r="EH89"/>
          <cell r="EI89">
            <v>787871.69</v>
          </cell>
          <cell r="EJ89">
            <v>224219.51</v>
          </cell>
          <cell r="EK89">
            <v>30213.19</v>
          </cell>
          <cell r="EL89">
            <v>422845.68</v>
          </cell>
          <cell r="EM89"/>
          <cell r="EN89"/>
          <cell r="EO89"/>
          <cell r="EP89"/>
          <cell r="EQ89"/>
          <cell r="ER89"/>
          <cell r="ES89"/>
          <cell r="ET89"/>
          <cell r="EU89"/>
          <cell r="EV89"/>
          <cell r="EW89"/>
          <cell r="EX89"/>
          <cell r="EY89"/>
          <cell r="EZ89"/>
          <cell r="FA89"/>
          <cell r="FB89"/>
          <cell r="FC89"/>
          <cell r="FD89" t="str">
            <v>web-form@smartsheet.com</v>
          </cell>
          <cell r="FE89">
            <v>45716.512008321763</v>
          </cell>
          <cell r="FF89" t="str">
            <v>web-form@smartsheet.com</v>
          </cell>
          <cell r="FG89">
            <v>45716.512008321763</v>
          </cell>
        </row>
        <row r="90">
          <cell r="B90" t="str">
            <v>RMHC Blanding</v>
          </cell>
          <cell r="C90">
            <v>870468543</v>
          </cell>
          <cell r="D90" t="str">
            <v>Thiennga Nielson</v>
          </cell>
          <cell r="E90" t="str">
            <v>thiennga.nielson@gmail.com</v>
          </cell>
          <cell r="F90" t="str">
            <v>+1 (801) 660-4007</v>
          </cell>
          <cell r="G90" t="str">
            <v>T1019	Personal attendant service, agency-based; per 15 minutes
T1021	Supportive Maintenance, home health aide or Home Health Aide or Certif Nurse Assist, per Visit</v>
          </cell>
          <cell r="I90"/>
          <cell r="M90"/>
          <cell r="P90"/>
          <cell r="Q90"/>
          <cell r="R90"/>
          <cell r="S90"/>
          <cell r="T90"/>
          <cell r="U90"/>
          <cell r="V90"/>
          <cell r="W90"/>
          <cell r="X90"/>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cell r="BE90"/>
          <cell r="BF90"/>
          <cell r="BG90"/>
          <cell r="BH90" t="str">
            <v>Yes</v>
          </cell>
          <cell r="BI90">
            <v>0.92</v>
          </cell>
          <cell r="BJ90">
            <v>586</v>
          </cell>
          <cell r="BK90" t="str">
            <v>Yes</v>
          </cell>
          <cell r="BL90">
            <v>0.83</v>
          </cell>
          <cell r="BM90">
            <v>4241</v>
          </cell>
          <cell r="BN90">
            <v>66</v>
          </cell>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cell r="DG90"/>
          <cell r="DH90"/>
          <cell r="DI90"/>
          <cell r="DJ90"/>
          <cell r="DK90"/>
          <cell r="DL90"/>
          <cell r="DM90"/>
          <cell r="DN90"/>
          <cell r="DO90"/>
          <cell r="DP90"/>
          <cell r="DQ90"/>
          <cell r="DR90"/>
          <cell r="DS90"/>
          <cell r="DT90"/>
          <cell r="DU90"/>
          <cell r="DV90"/>
          <cell r="DW90"/>
          <cell r="DX90"/>
          <cell r="DY90"/>
          <cell r="DZ90">
            <v>385233</v>
          </cell>
          <cell r="EA90">
            <v>7815</v>
          </cell>
          <cell r="EB90">
            <v>110034</v>
          </cell>
          <cell r="EC90">
            <v>2080</v>
          </cell>
          <cell r="ED90">
            <v>1483720</v>
          </cell>
          <cell r="EE90">
            <v>0</v>
          </cell>
          <cell r="EF90">
            <v>9153</v>
          </cell>
          <cell r="EG90"/>
          <cell r="EH90"/>
          <cell r="EI90">
            <v>2924852</v>
          </cell>
          <cell r="EJ90">
            <v>461328</v>
          </cell>
          <cell r="EK90">
            <v>55081</v>
          </cell>
          <cell r="EL90">
            <v>925843</v>
          </cell>
          <cell r="EM90"/>
          <cell r="EN90"/>
          <cell r="EO90"/>
          <cell r="EP90"/>
          <cell r="EQ90"/>
          <cell r="ER90"/>
          <cell r="ES90"/>
          <cell r="ET90"/>
          <cell r="EU90"/>
          <cell r="EV90"/>
          <cell r="EW90"/>
          <cell r="EX90"/>
          <cell r="EY90"/>
          <cell r="EZ90"/>
          <cell r="FA90"/>
          <cell r="FB90"/>
          <cell r="FC90"/>
          <cell r="FD90" t="str">
            <v>web-form@smartsheet.com</v>
          </cell>
          <cell r="FE90">
            <v>45716.627938518519</v>
          </cell>
          <cell r="FF90" t="str">
            <v>sdyer@mslc.com</v>
          </cell>
          <cell r="FG90">
            <v>45723.511273148149</v>
          </cell>
        </row>
        <row r="91">
          <cell r="B91" t="str">
            <v>FLEXCARE VALLEY MENTAL HLTH</v>
          </cell>
          <cell r="C91">
            <v>1932166980</v>
          </cell>
          <cell r="D91" t="str">
            <v>Sohaib Chaudhary</v>
          </cell>
          <cell r="E91" t="str">
            <v>sohiabc@valleycares.com</v>
          </cell>
          <cell r="F91" t="str">
            <v>+1 (801) 400-9192</v>
          </cell>
          <cell r="G91" t="str">
            <v>T1016	Case management; per 15 minutes</v>
          </cell>
          <cell r="I91"/>
          <cell r="M91"/>
          <cell r="P91"/>
          <cell r="Q91"/>
          <cell r="R91"/>
          <cell r="S91"/>
          <cell r="T91"/>
          <cell r="U91"/>
          <cell r="V91"/>
          <cell r="W91"/>
          <cell r="X91"/>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cell r="BE91" t="str">
            <v>Yes</v>
          </cell>
          <cell r="BF91">
            <v>0.81</v>
          </cell>
          <cell r="BG91">
            <v>37784</v>
          </cell>
          <cell r="BH91"/>
          <cell r="BI91"/>
          <cell r="BJ91"/>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cell r="DG91"/>
          <cell r="DH91"/>
          <cell r="DI91"/>
          <cell r="DJ91"/>
          <cell r="DK91"/>
          <cell r="DL91"/>
          <cell r="DM91"/>
          <cell r="DN91"/>
          <cell r="DO91"/>
          <cell r="DP91"/>
          <cell r="DQ91"/>
          <cell r="DR91"/>
          <cell r="DS91"/>
          <cell r="DT91"/>
          <cell r="DU91"/>
          <cell r="DV91"/>
          <cell r="DW91"/>
          <cell r="DX91"/>
          <cell r="DY91"/>
          <cell r="DZ91">
            <v>573299</v>
          </cell>
          <cell r="EA91">
            <v>17763</v>
          </cell>
          <cell r="EB91">
            <v>113441</v>
          </cell>
          <cell r="EC91">
            <v>4260</v>
          </cell>
          <cell r="ED91">
            <v>0</v>
          </cell>
          <cell r="EE91">
            <v>14360</v>
          </cell>
          <cell r="EF91">
            <v>24806</v>
          </cell>
          <cell r="EG91" t="str">
            <v>includes utilities, janitorial, building maintenance, software and supplies equipment depreciation, security, property insurance etc</v>
          </cell>
          <cell r="EH91"/>
          <cell r="EI91">
            <v>911848</v>
          </cell>
          <cell r="EJ91">
            <v>686740</v>
          </cell>
          <cell r="EK91">
            <v>185942</v>
          </cell>
          <cell r="EL91">
            <v>261077</v>
          </cell>
          <cell r="EM91"/>
          <cell r="EN91"/>
          <cell r="EO91"/>
          <cell r="EP91"/>
          <cell r="EQ91"/>
          <cell r="ER91"/>
          <cell r="ES91"/>
          <cell r="ET91"/>
          <cell r="EU91"/>
          <cell r="EV91"/>
          <cell r="EW91"/>
          <cell r="EX91"/>
          <cell r="EY91"/>
          <cell r="EZ91"/>
          <cell r="FA91"/>
          <cell r="FB91"/>
          <cell r="FC91"/>
          <cell r="FD91" t="str">
            <v>web-form@smartsheet.com</v>
          </cell>
          <cell r="FE91">
            <v>45716.744903449071</v>
          </cell>
          <cell r="FF91" t="str">
            <v>web-form@smartsheet.com</v>
          </cell>
          <cell r="FG91">
            <v>45716.744903449071</v>
          </cell>
        </row>
        <row r="92">
          <cell r="B92" t="str">
            <v>SUPERIOR CARE DSPD</v>
          </cell>
          <cell r="C92">
            <v>1487071973</v>
          </cell>
          <cell r="D92" t="str">
            <v>Raphael Nutakor</v>
          </cell>
          <cell r="E92" t="str">
            <v>hq@superiorcareusa.com</v>
          </cell>
          <cell r="F92" t="str">
            <v>+1 (775) 287-5508</v>
          </cell>
          <cell r="G92" t="str">
            <v>H0038	Personal Budget Assistance; per 15 minutes
S5150	Respite care services or Respite care services – Unskilled; per 15 minutes
T2016	Adult Residential Services – (Licensed Assisted Living Facility, Memory Care Unit); per diem</v>
          </cell>
          <cell r="I92"/>
          <cell r="L92" t="str">
            <v>Yes</v>
          </cell>
          <cell r="M92">
            <v>0.84</v>
          </cell>
          <cell r="N92">
            <v>203</v>
          </cell>
          <cell r="P92"/>
          <cell r="Q92"/>
          <cell r="R92"/>
          <cell r="S92"/>
          <cell r="T92"/>
          <cell r="U92"/>
          <cell r="V92"/>
          <cell r="W92"/>
          <cell r="X92"/>
          <cell r="Y92"/>
          <cell r="Z92"/>
          <cell r="AA92"/>
          <cell r="AB92"/>
          <cell r="AC92"/>
          <cell r="AD92"/>
          <cell r="AE92"/>
          <cell r="AF92"/>
          <cell r="AG92"/>
          <cell r="AH92"/>
          <cell r="AI92"/>
          <cell r="AJ92"/>
          <cell r="AK92"/>
          <cell r="AL92"/>
          <cell r="AM92"/>
          <cell r="AN92"/>
          <cell r="AO92"/>
          <cell r="AP92"/>
          <cell r="AQ92"/>
          <cell r="AR92"/>
          <cell r="AS92" t="str">
            <v>Yes</v>
          </cell>
          <cell r="AT92">
            <v>0.16</v>
          </cell>
          <cell r="AU92">
            <v>45</v>
          </cell>
          <cell r="AV92"/>
          <cell r="AW92"/>
          <cell r="AX92"/>
          <cell r="AY92"/>
          <cell r="AZ92"/>
          <cell r="BA92"/>
          <cell r="BB92"/>
          <cell r="BC92"/>
          <cell r="BD92"/>
          <cell r="BE92"/>
          <cell r="BF92"/>
          <cell r="BG92"/>
          <cell r="BH92"/>
          <cell r="BI92"/>
          <cell r="BJ92"/>
          <cell r="BK92"/>
          <cell r="BL92"/>
          <cell r="BM92"/>
          <cell r="BN92"/>
          <cell r="BO92"/>
          <cell r="BP92"/>
          <cell r="BQ92"/>
          <cell r="BR92"/>
          <cell r="BS92"/>
          <cell r="BT92"/>
          <cell r="BU92"/>
          <cell r="BV92"/>
          <cell r="BW92" t="str">
            <v>Yes</v>
          </cell>
          <cell r="BX92">
            <v>0.84</v>
          </cell>
          <cell r="BY92">
            <v>33041.86</v>
          </cell>
          <cell r="BZ92"/>
          <cell r="CA92"/>
          <cell r="CB92">
            <v>602.1</v>
          </cell>
          <cell r="CC92">
            <v>1916.04</v>
          </cell>
          <cell r="CD92">
            <v>16276.51</v>
          </cell>
          <cell r="CE92"/>
          <cell r="CF92">
            <v>10</v>
          </cell>
          <cell r="CG92">
            <v>2907</v>
          </cell>
          <cell r="CH92">
            <v>2907</v>
          </cell>
          <cell r="CI92"/>
          <cell r="CJ92"/>
          <cell r="CK92"/>
          <cell r="CL92"/>
          <cell r="CM92"/>
          <cell r="CN92"/>
          <cell r="CO92"/>
          <cell r="CP92"/>
          <cell r="CQ92"/>
          <cell r="CR92"/>
          <cell r="CS92"/>
          <cell r="CT92"/>
          <cell r="CU92"/>
          <cell r="CV92"/>
          <cell r="CW92"/>
          <cell r="CX92"/>
          <cell r="CY92"/>
          <cell r="CZ92"/>
          <cell r="DA92"/>
          <cell r="DB92"/>
          <cell r="DC92"/>
          <cell r="DD92"/>
          <cell r="DE92"/>
          <cell r="DF92"/>
          <cell r="DG92"/>
          <cell r="DH92"/>
          <cell r="DI92"/>
          <cell r="DJ92"/>
          <cell r="DK92"/>
          <cell r="DL92"/>
          <cell r="DM92"/>
          <cell r="DN92"/>
          <cell r="DO92"/>
          <cell r="DP92"/>
          <cell r="DQ92"/>
          <cell r="DR92"/>
          <cell r="DS92"/>
          <cell r="DT92"/>
          <cell r="DU92"/>
          <cell r="DV92"/>
          <cell r="DW92"/>
          <cell r="DX92"/>
          <cell r="DY92"/>
          <cell r="DZ92">
            <v>576470.36</v>
          </cell>
          <cell r="EA92">
            <v>35071</v>
          </cell>
          <cell r="EB92">
            <v>160583.35</v>
          </cell>
          <cell r="EC92">
            <v>3920</v>
          </cell>
          <cell r="ED92"/>
          <cell r="EE92">
            <v>11120</v>
          </cell>
          <cell r="EF92"/>
          <cell r="EG92"/>
          <cell r="EH92"/>
          <cell r="EI92">
            <v>748173.71</v>
          </cell>
          <cell r="EJ92">
            <v>748173.71</v>
          </cell>
          <cell r="EK92">
            <v>105814.93</v>
          </cell>
          <cell r="EL92">
            <v>145273.65</v>
          </cell>
          <cell r="EM92"/>
          <cell r="EN92"/>
          <cell r="EO92"/>
          <cell r="EP92"/>
          <cell r="EQ92"/>
          <cell r="ER92"/>
          <cell r="ES92"/>
          <cell r="ET92"/>
          <cell r="EU92"/>
          <cell r="EV92"/>
          <cell r="EW92"/>
          <cell r="EX92"/>
          <cell r="EY92"/>
          <cell r="EZ92"/>
          <cell r="FA92"/>
          <cell r="FB92"/>
          <cell r="FC92"/>
          <cell r="FD92" t="str">
            <v>web-form@smartsheet.com</v>
          </cell>
          <cell r="FE92">
            <v>45716.77327179398</v>
          </cell>
          <cell r="FF92" t="str">
            <v>web-form@smartsheet.com</v>
          </cell>
          <cell r="FG92">
            <v>45716.77327179398</v>
          </cell>
        </row>
        <row r="93">
          <cell r="B93" t="str">
            <v>SANPETE COMMUNITY TRAINING CENTER</v>
          </cell>
          <cell r="C93" t="str">
            <v>0000000000</v>
          </cell>
          <cell r="D93" t="str">
            <v>Tyler Larsen</v>
          </cell>
          <cell r="E93" t="str">
            <v>tyler@sancotraining.com</v>
          </cell>
          <cell r="F93" t="str">
            <v>+1 (435) 283-4718</v>
          </cell>
          <cell r="G93" t="str">
            <v>Other services or operations not listed above
S5102	Adult Day Care (Adult Day Health) or Adult day health services; per diem
S5150	Respite care services or Respite care services – Unskilled; per 15 minutes</v>
          </cell>
          <cell r="I93"/>
          <cell r="M93"/>
          <cell r="P93"/>
          <cell r="Q93"/>
          <cell r="R93"/>
          <cell r="S93"/>
          <cell r="T93"/>
          <cell r="U93"/>
          <cell r="V93"/>
          <cell r="W93"/>
          <cell r="X93"/>
          <cell r="Y93"/>
          <cell r="Z93"/>
          <cell r="AA93"/>
          <cell r="AB93"/>
          <cell r="AC93"/>
          <cell r="AD93"/>
          <cell r="AE93"/>
          <cell r="AF93" t="str">
            <v>Yes</v>
          </cell>
          <cell r="AG93">
            <v>1</v>
          </cell>
          <cell r="AH93">
            <v>21995</v>
          </cell>
          <cell r="AI93">
            <v>0.25</v>
          </cell>
          <cell r="AJ93"/>
          <cell r="AK93"/>
          <cell r="AL93"/>
          <cell r="AM93"/>
          <cell r="AN93"/>
          <cell r="AO93"/>
          <cell r="AP93"/>
          <cell r="AQ93"/>
          <cell r="AR93"/>
          <cell r="AS93" t="str">
            <v>Yes</v>
          </cell>
          <cell r="AT93">
            <v>1</v>
          </cell>
          <cell r="AU93">
            <v>60435</v>
          </cell>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cell r="DG93"/>
          <cell r="DH93"/>
          <cell r="DI93"/>
          <cell r="DJ93"/>
          <cell r="DK93"/>
          <cell r="DL93"/>
          <cell r="DM93"/>
          <cell r="DN93"/>
          <cell r="DO93"/>
          <cell r="DP93"/>
          <cell r="DQ93"/>
          <cell r="DR93"/>
          <cell r="DS93"/>
          <cell r="DT93"/>
          <cell r="DU93"/>
          <cell r="DV93"/>
          <cell r="DW93"/>
          <cell r="DX93"/>
          <cell r="DY93"/>
          <cell r="DZ93">
            <v>647530.18000000005</v>
          </cell>
          <cell r="EA93">
            <v>32570.14</v>
          </cell>
          <cell r="EB93">
            <v>67890.600000000006</v>
          </cell>
          <cell r="EC93">
            <v>2084.15</v>
          </cell>
          <cell r="ED93">
            <v>0</v>
          </cell>
          <cell r="EE93">
            <v>7308</v>
          </cell>
          <cell r="EF93">
            <v>402584.49</v>
          </cell>
          <cell r="EG93"/>
          <cell r="EH93"/>
          <cell r="EI93">
            <v>1225672.75</v>
          </cell>
          <cell r="EJ93">
            <v>871952.08</v>
          </cell>
          <cell r="EK93">
            <v>140569.20000000001</v>
          </cell>
          <cell r="EL93">
            <v>213151.47</v>
          </cell>
          <cell r="EM93">
            <v>101956.85</v>
          </cell>
          <cell r="EN93"/>
          <cell r="EO93"/>
          <cell r="EP93"/>
          <cell r="EQ93"/>
          <cell r="ER93"/>
          <cell r="ES93"/>
          <cell r="ET93"/>
          <cell r="EU93"/>
          <cell r="EV93"/>
          <cell r="EW93"/>
          <cell r="EX93"/>
          <cell r="EY93"/>
          <cell r="EZ93"/>
          <cell r="FA93"/>
          <cell r="FB93"/>
          <cell r="FC93"/>
          <cell r="FD93" t="str">
            <v>web-form@smartsheet.com</v>
          </cell>
          <cell r="FE93">
            <v>45717.630556875003</v>
          </cell>
          <cell r="FF93" t="str">
            <v>web-form@smartsheet.com</v>
          </cell>
          <cell r="FG93">
            <v>45717.630556875003</v>
          </cell>
        </row>
        <row r="94">
          <cell r="B94" t="str">
            <v>MISSION AT COMM LIV REHAB</v>
          </cell>
          <cell r="C94">
            <v>1053731943</v>
          </cell>
          <cell r="D94" t="str">
            <v>Nickelle Squire</v>
          </cell>
          <cell r="E94" t="str">
            <v>nickelle.squire@missionhealthservices.org</v>
          </cell>
          <cell r="F94" t="str">
            <v>+1 (435) 528-2800</v>
          </cell>
          <cell r="G94" t="str">
            <v>T2031	Adult Residential Services (Assisted Living Facilities Level I, Level II, &amp; Type N Facilities); per diem</v>
          </cell>
          <cell r="I94"/>
          <cell r="M94"/>
          <cell r="P94"/>
          <cell r="Q94"/>
          <cell r="R94"/>
          <cell r="S94"/>
          <cell r="T94"/>
          <cell r="U94"/>
          <cell r="V94"/>
          <cell r="W94"/>
          <cell r="X94"/>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cell r="BE94"/>
          <cell r="BF94"/>
          <cell r="BG94"/>
          <cell r="BH94"/>
          <cell r="BI94"/>
          <cell r="BJ94"/>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t="str">
            <v>Yes</v>
          </cell>
          <cell r="CX94">
            <v>0.35</v>
          </cell>
          <cell r="CY94">
            <v>44259</v>
          </cell>
          <cell r="CZ94"/>
          <cell r="DA94"/>
          <cell r="DB94">
            <v>2673</v>
          </cell>
          <cell r="DC94">
            <v>1732</v>
          </cell>
          <cell r="DD94">
            <v>18187</v>
          </cell>
          <cell r="DE94">
            <v>36128</v>
          </cell>
          <cell r="DF94">
            <v>16</v>
          </cell>
          <cell r="DG94">
            <v>4696</v>
          </cell>
          <cell r="DH94">
            <v>1640</v>
          </cell>
          <cell r="DI94"/>
          <cell r="DJ94"/>
          <cell r="DK94"/>
          <cell r="DL94"/>
          <cell r="DM94"/>
          <cell r="DN94"/>
          <cell r="DO94"/>
          <cell r="DP94"/>
          <cell r="DQ94"/>
          <cell r="DR94"/>
          <cell r="DS94"/>
          <cell r="DT94"/>
          <cell r="DU94"/>
          <cell r="DV94"/>
          <cell r="DW94"/>
          <cell r="DX94"/>
          <cell r="DY94"/>
          <cell r="DZ94">
            <v>169804</v>
          </cell>
          <cell r="EA94">
            <v>9849.76</v>
          </cell>
          <cell r="EB94"/>
          <cell r="EC94"/>
          <cell r="ED94"/>
          <cell r="EE94">
            <v>1714</v>
          </cell>
          <cell r="EF94">
            <v>6756</v>
          </cell>
          <cell r="EG94" t="str">
            <v>transportation</v>
          </cell>
          <cell r="EH94"/>
          <cell r="EI94">
            <v>489578</v>
          </cell>
          <cell r="EJ94">
            <v>296170</v>
          </cell>
          <cell r="EK94">
            <v>29023</v>
          </cell>
          <cell r="EL94">
            <v>189161</v>
          </cell>
          <cell r="EM94"/>
          <cell r="EN94"/>
          <cell r="EO94"/>
          <cell r="EP94"/>
          <cell r="EQ94"/>
          <cell r="ER94"/>
          <cell r="ES94"/>
          <cell r="ET94"/>
          <cell r="EU94"/>
          <cell r="EV94"/>
          <cell r="EW94"/>
          <cell r="EX94"/>
          <cell r="EY94"/>
          <cell r="EZ94"/>
          <cell r="FA94"/>
          <cell r="FB94"/>
          <cell r="FC94"/>
          <cell r="FD94" t="str">
            <v>web-form@smartsheet.com</v>
          </cell>
          <cell r="FE94">
            <v>45718.680486203702</v>
          </cell>
          <cell r="FF94" t="str">
            <v>web-form@smartsheet.com</v>
          </cell>
          <cell r="FG94">
            <v>45718.680486203702</v>
          </cell>
        </row>
        <row r="95">
          <cell r="B95" t="str">
            <v>CARE ADVOCATES LLC</v>
          </cell>
          <cell r="C95">
            <v>1598211054</v>
          </cell>
          <cell r="D95" t="str">
            <v>Julie Bylund</v>
          </cell>
          <cell r="E95" t="str">
            <v>jbylund@careadvocatesofutah.com</v>
          </cell>
          <cell r="F95" t="str">
            <v>+1 (801) 722-4229</v>
          </cell>
          <cell r="G95" t="str">
            <v>T1016	Case management; per 15 minutes</v>
          </cell>
          <cell r="I95"/>
          <cell r="M95"/>
          <cell r="P95"/>
          <cell r="Q95"/>
          <cell r="R95"/>
          <cell r="S95"/>
          <cell r="T95"/>
          <cell r="U95"/>
          <cell r="V95"/>
          <cell r="W95"/>
          <cell r="X95"/>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cell r="BE95" t="str">
            <v>Yes</v>
          </cell>
          <cell r="BF95">
            <v>1</v>
          </cell>
          <cell r="BG95">
            <v>151815</v>
          </cell>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cell r="DG95"/>
          <cell r="DH95"/>
          <cell r="DI95"/>
          <cell r="DJ95"/>
          <cell r="DK95"/>
          <cell r="DL95"/>
          <cell r="DM95"/>
          <cell r="DN95"/>
          <cell r="DO95"/>
          <cell r="DP95"/>
          <cell r="DQ95"/>
          <cell r="DR95"/>
          <cell r="DS95"/>
          <cell r="DT95"/>
          <cell r="DU95"/>
          <cell r="DV95"/>
          <cell r="DW95"/>
          <cell r="DX95"/>
          <cell r="DY95"/>
          <cell r="DZ95">
            <v>365201.43</v>
          </cell>
          <cell r="EA95">
            <v>16560</v>
          </cell>
          <cell r="EB95">
            <v>93465.97</v>
          </cell>
          <cell r="EC95">
            <v>6240</v>
          </cell>
          <cell r="ED95">
            <v>40959.199999999997</v>
          </cell>
          <cell r="EE95">
            <v>11223.47</v>
          </cell>
          <cell r="EF95">
            <v>2465479</v>
          </cell>
          <cell r="EG95" t="str">
            <v>continuing education classes, recertifications, payroll taxes, training/prof development, bonuses, lease fees, business insurance, marketing, computers for team, legal -- all these and more are directly related to providing CM services.</v>
          </cell>
          <cell r="EH95" t="str">
            <v>I am not the accountant, and I am 100% positive I completed this form incorrectly.  I am trying to decipher forms my accountant emailed.  I apologize.</v>
          </cell>
          <cell r="EI95">
            <v>508495</v>
          </cell>
          <cell r="EJ95">
            <v>365201.45</v>
          </cell>
          <cell r="EK95">
            <v>27242.66</v>
          </cell>
          <cell r="EL95">
            <v>30645.75</v>
          </cell>
          <cell r="EM95"/>
          <cell r="EN95"/>
          <cell r="EO95"/>
          <cell r="EP95"/>
          <cell r="EQ95"/>
          <cell r="ER95"/>
          <cell r="ES95"/>
          <cell r="ET95"/>
          <cell r="EU95"/>
          <cell r="EV95"/>
          <cell r="EW95" t="str">
            <v>T1016 Case Management and T2024 Pre-Case Management are the services I am contracted to provide.   Both are reimbursed at the same rate.</v>
          </cell>
          <cell r="EX95"/>
          <cell r="EY95"/>
          <cell r="EZ95"/>
          <cell r="FA95"/>
          <cell r="FB95"/>
          <cell r="FC95"/>
          <cell r="FD95" t="str">
            <v>web-form@smartsheet.com</v>
          </cell>
          <cell r="FE95">
            <v>45718.711871828702</v>
          </cell>
          <cell r="FF95" t="str">
            <v>web-form@smartsheet.com</v>
          </cell>
          <cell r="FG95">
            <v>45718.711871828702</v>
          </cell>
        </row>
        <row r="96">
          <cell r="B96" t="str">
            <v>MY HEROES</v>
          </cell>
          <cell r="C96">
            <v>4134211</v>
          </cell>
          <cell r="D96" t="str">
            <v>Gaspar Valdez</v>
          </cell>
          <cell r="E96" t="str">
            <v>rico@utahmyheroes.com</v>
          </cell>
          <cell r="F96" t="str">
            <v>+1 (385) 439-8137</v>
          </cell>
          <cell r="G96" t="str">
            <v>Other services or operations not listed above
S5102	Adult Day Care (Adult Day Health) or Adult day health services; per diem</v>
          </cell>
          <cell r="I96"/>
          <cell r="M96"/>
          <cell r="P96"/>
          <cell r="Q96"/>
          <cell r="R96"/>
          <cell r="S96"/>
          <cell r="T96"/>
          <cell r="U96"/>
          <cell r="V96"/>
          <cell r="W96"/>
          <cell r="X96"/>
          <cell r="Y96"/>
          <cell r="Z96"/>
          <cell r="AA96"/>
          <cell r="AB96"/>
          <cell r="AC96"/>
          <cell r="AD96"/>
          <cell r="AE96"/>
          <cell r="AF96" t="str">
            <v>Yes</v>
          </cell>
          <cell r="AG96">
            <v>1</v>
          </cell>
          <cell r="AH96">
            <v>2096</v>
          </cell>
          <cell r="AI96">
            <v>6</v>
          </cell>
          <cell r="AJ96"/>
          <cell r="AK96"/>
          <cell r="AL96"/>
          <cell r="AM96"/>
          <cell r="AN96"/>
          <cell r="AO96"/>
          <cell r="AP96"/>
          <cell r="AQ96"/>
          <cell r="AR96"/>
          <cell r="AS96"/>
          <cell r="AT96"/>
          <cell r="AU96"/>
          <cell r="AV96"/>
          <cell r="AW96"/>
          <cell r="AX96"/>
          <cell r="AY96"/>
          <cell r="AZ96"/>
          <cell r="BA96"/>
          <cell r="BB96"/>
          <cell r="BC96"/>
          <cell r="BD96"/>
          <cell r="BE96"/>
          <cell r="BF96"/>
          <cell r="BG96"/>
          <cell r="BH96"/>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cell r="DG96"/>
          <cell r="DH96"/>
          <cell r="DI96"/>
          <cell r="DJ96"/>
          <cell r="DK96"/>
          <cell r="DL96"/>
          <cell r="DM96"/>
          <cell r="DN96"/>
          <cell r="DO96"/>
          <cell r="DP96"/>
          <cell r="DQ96"/>
          <cell r="DR96"/>
          <cell r="DS96"/>
          <cell r="DT96"/>
          <cell r="DU96"/>
          <cell r="DV96"/>
          <cell r="DW96"/>
          <cell r="DX96"/>
          <cell r="DY96"/>
          <cell r="DZ96">
            <v>55570.15</v>
          </cell>
          <cell r="EA96">
            <v>4200</v>
          </cell>
          <cell r="EB96">
            <v>0</v>
          </cell>
          <cell r="EC96">
            <v>0</v>
          </cell>
          <cell r="ED96">
            <v>0</v>
          </cell>
          <cell r="EE96">
            <v>0</v>
          </cell>
          <cell r="EF96">
            <v>33733</v>
          </cell>
          <cell r="EG96" t="str">
            <v>rent/dsg activites/gas/insurance</v>
          </cell>
          <cell r="EH96" t="str">
            <v>did not included taxes for wages etc not sure if i had to. Form isnt very well put together for information needed.</v>
          </cell>
          <cell r="EI96">
            <v>236573.39</v>
          </cell>
          <cell r="EJ96">
            <v>183095.56</v>
          </cell>
          <cell r="EK96">
            <v>6009.91</v>
          </cell>
          <cell r="EL96">
            <v>11609</v>
          </cell>
          <cell r="EM96">
            <v>115836.19</v>
          </cell>
          <cell r="EN96"/>
          <cell r="EO96"/>
          <cell r="EP96" t="str">
            <v>Billed units for daily DSG/SLN/DSI 
Your form makes it hard to document all units etc filling it out to the best it allows me. 
no location for host homes added it to other expenses</v>
          </cell>
          <cell r="EQ96"/>
          <cell r="ER96"/>
          <cell r="ES96"/>
          <cell r="ET96"/>
          <cell r="EU96"/>
          <cell r="EV96"/>
          <cell r="EW96"/>
          <cell r="EX96"/>
          <cell r="EY96"/>
          <cell r="EZ96"/>
          <cell r="FA96"/>
          <cell r="FB96"/>
          <cell r="FC96"/>
          <cell r="FD96" t="str">
            <v>web-form@smartsheet.com</v>
          </cell>
          <cell r="FE96">
            <v>45718.905520416665</v>
          </cell>
          <cell r="FF96" t="str">
            <v>web-form@smartsheet.com</v>
          </cell>
          <cell r="FG96">
            <v>45718.905520416665</v>
          </cell>
        </row>
        <row r="97">
          <cell r="B97" t="str">
            <v>TKJ LLC DSPD</v>
          </cell>
          <cell r="C97">
            <v>1548327810</v>
          </cell>
          <cell r="D97" t="str">
            <v>Jim Jensen</v>
          </cell>
          <cell r="E97" t="str">
            <v>jim@tkjmail.com</v>
          </cell>
          <cell r="F97" t="str">
            <v>+1 (801) 580-1824</v>
          </cell>
          <cell r="G97" t="str">
            <v>H0038	Personal Budget Assistance; per 15 minutes
Other services or operations not listed above
T2016	Adult Residential Services – (Licensed Assisted Living Facility, Memory Care Unit); per diem
T2017	Habilitation Services; per diem</v>
          </cell>
          <cell r="I97"/>
          <cell r="L97" t="str">
            <v>Yes</v>
          </cell>
          <cell r="M97">
            <v>1</v>
          </cell>
          <cell r="N97">
            <v>1970</v>
          </cell>
          <cell r="P97"/>
          <cell r="Q97"/>
          <cell r="R97"/>
          <cell r="S97"/>
          <cell r="T97"/>
          <cell r="U97"/>
          <cell r="V97"/>
          <cell r="W97"/>
          <cell r="X97"/>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cell r="BE97"/>
          <cell r="BF97"/>
          <cell r="BG97"/>
          <cell r="BH97"/>
          <cell r="BI97"/>
          <cell r="BJ97"/>
          <cell r="BK97"/>
          <cell r="BL97"/>
          <cell r="BM97"/>
          <cell r="BN97"/>
          <cell r="BO97"/>
          <cell r="BP97"/>
          <cell r="BQ97"/>
          <cell r="BR97"/>
          <cell r="BS97"/>
          <cell r="BT97"/>
          <cell r="BU97"/>
          <cell r="BV97"/>
          <cell r="BW97" t="str">
            <v>Yes</v>
          </cell>
          <cell r="BX97">
            <v>1</v>
          </cell>
          <cell r="BY97"/>
          <cell r="BZ97"/>
          <cell r="CA97"/>
          <cell r="CB97"/>
          <cell r="CC97"/>
          <cell r="CD97"/>
          <cell r="CE97"/>
          <cell r="CF97"/>
          <cell r="CG97">
            <v>27747</v>
          </cell>
          <cell r="CH97">
            <v>27747</v>
          </cell>
          <cell r="CI97"/>
          <cell r="CJ97" t="str">
            <v>Yes</v>
          </cell>
          <cell r="CK97">
            <v>1</v>
          </cell>
          <cell r="CL97"/>
          <cell r="CM97"/>
          <cell r="CN97"/>
          <cell r="CO97"/>
          <cell r="CP97"/>
          <cell r="CQ97"/>
          <cell r="CR97"/>
          <cell r="CS97"/>
          <cell r="CT97">
            <v>5191</v>
          </cell>
          <cell r="CU97">
            <v>5191</v>
          </cell>
          <cell r="CV97"/>
          <cell r="CW97"/>
          <cell r="CX97"/>
          <cell r="CY97"/>
          <cell r="CZ97"/>
          <cell r="DA97"/>
          <cell r="DB97"/>
          <cell r="DC97"/>
          <cell r="DD97"/>
          <cell r="DE97"/>
          <cell r="DF97"/>
          <cell r="DG97"/>
          <cell r="DH97"/>
          <cell r="DI97"/>
          <cell r="DJ97"/>
          <cell r="DK97"/>
          <cell r="DL97"/>
          <cell r="DM97"/>
          <cell r="DN97"/>
          <cell r="DO97"/>
          <cell r="DP97"/>
          <cell r="DQ97"/>
          <cell r="DR97"/>
          <cell r="DS97"/>
          <cell r="DT97"/>
          <cell r="DU97"/>
          <cell r="DV97"/>
          <cell r="DW97"/>
          <cell r="DX97"/>
          <cell r="DY97"/>
          <cell r="DZ97">
            <v>4684351</v>
          </cell>
          <cell r="EA97">
            <v>279190</v>
          </cell>
          <cell r="EB97">
            <v>518903</v>
          </cell>
          <cell r="EC97">
            <v>10791</v>
          </cell>
          <cell r="ED97">
            <v>0</v>
          </cell>
          <cell r="EE97">
            <v>72505</v>
          </cell>
          <cell r="EF97">
            <v>365291</v>
          </cell>
          <cell r="EG97" t="str">
            <v>Office Space, Supplies, liability insurance</v>
          </cell>
          <cell r="EH97"/>
          <cell r="EI97">
            <v>8159696</v>
          </cell>
          <cell r="EJ97">
            <v>6455111</v>
          </cell>
          <cell r="EK97">
            <v>1055011</v>
          </cell>
          <cell r="EL97">
            <v>954426</v>
          </cell>
          <cell r="EM97">
            <v>712313</v>
          </cell>
          <cell r="EN97"/>
          <cell r="EO97"/>
          <cell r="EP97"/>
          <cell r="EQ97"/>
          <cell r="ER97"/>
          <cell r="ES97"/>
          <cell r="ET97"/>
          <cell r="EU97"/>
          <cell r="EV97"/>
          <cell r="EW97"/>
          <cell r="EX97"/>
          <cell r="EY97"/>
          <cell r="EZ97"/>
          <cell r="FA97"/>
          <cell r="FB97"/>
          <cell r="FC97"/>
          <cell r="FD97" t="str">
            <v>web-form@smartsheet.com</v>
          </cell>
          <cell r="FE97">
            <v>45719.395869120373</v>
          </cell>
          <cell r="FF97" t="str">
            <v>web-form@smartsheet.com</v>
          </cell>
          <cell r="FG97">
            <v>45719.395869120373</v>
          </cell>
        </row>
        <row r="98">
          <cell r="B98" t="str">
            <v>PERFECT STAY GROUP DSPD</v>
          </cell>
          <cell r="C98">
            <v>122468</v>
          </cell>
          <cell r="D98" t="str">
            <v>Duane Clark</v>
          </cell>
          <cell r="E98" t="str">
            <v>perfectstaygroup@gmail.com</v>
          </cell>
          <cell r="F98" t="str">
            <v>+1 (801) 427-9169</v>
          </cell>
          <cell r="G98" t="str">
            <v>H0038	Personal Budget Assistance; per 15 minutes
S5102	Adult Day Care (Adult Day Health) or Adult day health services; per diem
T2033	Adult Residential Services – (Licensed Community Residential Care); per diem</v>
          </cell>
          <cell r="I98"/>
          <cell r="L98" t="str">
            <v>Yes</v>
          </cell>
          <cell r="M98">
            <v>1</v>
          </cell>
          <cell r="N98">
            <v>44</v>
          </cell>
          <cell r="P98"/>
          <cell r="Q98"/>
          <cell r="R98"/>
          <cell r="S98"/>
          <cell r="T98"/>
          <cell r="U98"/>
          <cell r="V98"/>
          <cell r="W98"/>
          <cell r="X98"/>
          <cell r="Y98"/>
          <cell r="Z98"/>
          <cell r="AA98"/>
          <cell r="AB98"/>
          <cell r="AC98"/>
          <cell r="AD98"/>
          <cell r="AE98"/>
          <cell r="AF98" t="str">
            <v>Yes</v>
          </cell>
          <cell r="AG98">
            <v>1</v>
          </cell>
          <cell r="AH98">
            <v>601</v>
          </cell>
          <cell r="AI98">
            <v>6</v>
          </cell>
          <cell r="AJ98"/>
          <cell r="AK98"/>
          <cell r="AL98"/>
          <cell r="AM98"/>
          <cell r="AN98"/>
          <cell r="AO98"/>
          <cell r="AP98"/>
          <cell r="AQ98"/>
          <cell r="AR98"/>
          <cell r="AS98"/>
          <cell r="AT98"/>
          <cell r="AU98"/>
          <cell r="AV98"/>
          <cell r="AW98"/>
          <cell r="AX98"/>
          <cell r="AY98"/>
          <cell r="AZ98"/>
          <cell r="BA98"/>
          <cell r="BB98"/>
          <cell r="BC98"/>
          <cell r="BD98"/>
          <cell r="BE98"/>
          <cell r="BF98"/>
          <cell r="BG98"/>
          <cell r="BH98"/>
          <cell r="BI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t="str">
            <v>Yes</v>
          </cell>
          <cell r="DK98">
            <v>1</v>
          </cell>
          <cell r="DL98">
            <v>66000</v>
          </cell>
          <cell r="DM98">
            <v>0</v>
          </cell>
          <cell r="DN98">
            <v>0</v>
          </cell>
          <cell r="DO98">
            <v>0</v>
          </cell>
          <cell r="DP98">
            <v>5500</v>
          </cell>
          <cell r="DQ98">
            <v>8000</v>
          </cell>
          <cell r="DR98">
            <v>14720</v>
          </cell>
          <cell r="DS98">
            <v>8</v>
          </cell>
          <cell r="DT98">
            <v>365</v>
          </cell>
          <cell r="DU98">
            <v>365</v>
          </cell>
          <cell r="DV98"/>
          <cell r="DW98"/>
          <cell r="DX98"/>
          <cell r="DY98"/>
          <cell r="DZ98">
            <v>152441.92000000001</v>
          </cell>
          <cell r="EA98">
            <v>10162</v>
          </cell>
          <cell r="EB98">
            <v>44000</v>
          </cell>
          <cell r="EC98">
            <v>2200</v>
          </cell>
          <cell r="ED98">
            <v>0</v>
          </cell>
          <cell r="EE98">
            <v>0</v>
          </cell>
          <cell r="EF98">
            <v>44354.7</v>
          </cell>
          <cell r="EG98" t="str">
            <v>These expenses include supplies and materials, group activities and outings, other meals provided for trainings etc.</v>
          </cell>
          <cell r="EH98"/>
          <cell r="EI98">
            <v>232491.32</v>
          </cell>
          <cell r="EJ98">
            <v>196441.92</v>
          </cell>
          <cell r="EK98">
            <v>33532.980000000003</v>
          </cell>
          <cell r="EL98">
            <v>15739.24</v>
          </cell>
          <cell r="EM98"/>
          <cell r="EN98"/>
          <cell r="EO98"/>
          <cell r="EP98"/>
          <cell r="EQ98"/>
          <cell r="ER98"/>
          <cell r="ES98"/>
          <cell r="ET98"/>
          <cell r="EU98"/>
          <cell r="EV98"/>
          <cell r="EW98"/>
          <cell r="EX98"/>
          <cell r="EY98"/>
          <cell r="EZ98"/>
          <cell r="FA98"/>
          <cell r="FB98"/>
          <cell r="FC98"/>
          <cell r="FD98" t="str">
            <v>web-form@smartsheet.com</v>
          </cell>
          <cell r="FE98">
            <v>45719.447987881947</v>
          </cell>
          <cell r="FF98" t="str">
            <v>web-form@smartsheet.com</v>
          </cell>
          <cell r="FG98">
            <v>45719.447987881947</v>
          </cell>
        </row>
        <row r="99">
          <cell r="B99" t="str">
            <v>SIX COUNTY AAA AW</v>
          </cell>
          <cell r="C99">
            <v>1316985930</v>
          </cell>
          <cell r="D99" t="str">
            <v>Douglas Kirkham</v>
          </cell>
          <cell r="E99" t="str">
            <v>dkirkham@r6.utah.gov</v>
          </cell>
          <cell r="F99" t="str">
            <v>+1 (435) 893-0725</v>
          </cell>
          <cell r="G99" t="str">
            <v>S5170	Home Delivered Meals or Supplemental Meals (Liquid and Solid)
T1016	Case management; per 15 minutes</v>
          </cell>
          <cell r="I99"/>
          <cell r="M99"/>
          <cell r="P99"/>
          <cell r="Q99"/>
          <cell r="R99"/>
          <cell r="S99"/>
          <cell r="T99"/>
          <cell r="U99"/>
          <cell r="V99"/>
          <cell r="W99"/>
          <cell r="X99"/>
          <cell r="Y99"/>
          <cell r="Z99"/>
          <cell r="AA99"/>
          <cell r="AB99"/>
          <cell r="AC99"/>
          <cell r="AD99"/>
          <cell r="AE99"/>
          <cell r="AF99"/>
          <cell r="AG99"/>
          <cell r="AH99"/>
          <cell r="AI99"/>
          <cell r="AJ99"/>
          <cell r="AK99"/>
          <cell r="AL99"/>
          <cell r="AM99"/>
          <cell r="AN99"/>
          <cell r="AO99"/>
          <cell r="AP99"/>
          <cell r="AQ99"/>
          <cell r="AR99"/>
          <cell r="AS99"/>
          <cell r="AT99"/>
          <cell r="AU99"/>
          <cell r="AV99" t="str">
            <v>Yes</v>
          </cell>
          <cell r="AW99">
            <v>1</v>
          </cell>
          <cell r="AX99">
            <v>4518</v>
          </cell>
          <cell r="AY99"/>
          <cell r="AZ99"/>
          <cell r="BA99"/>
          <cell r="BB99"/>
          <cell r="BC99"/>
          <cell r="BD99"/>
          <cell r="BE99" t="str">
            <v>Yes</v>
          </cell>
          <cell r="BF99">
            <v>1</v>
          </cell>
          <cell r="BG99">
            <v>2626</v>
          </cell>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v>55495</v>
          </cell>
          <cell r="EA99">
            <v>925</v>
          </cell>
          <cell r="EB99">
            <v>28996</v>
          </cell>
          <cell r="EC99">
            <v>460</v>
          </cell>
          <cell r="ED99">
            <v>0</v>
          </cell>
          <cell r="EE99">
            <v>3716</v>
          </cell>
          <cell r="EF99">
            <v>47532</v>
          </cell>
          <cell r="EG99" t="str">
            <v>Food costs, rx and medical supplies, indirect allocated costs, Telephone, rent and office supplies</v>
          </cell>
          <cell r="EH99"/>
          <cell r="EI99">
            <v>196154</v>
          </cell>
          <cell r="EJ99">
            <v>80897</v>
          </cell>
          <cell r="EK99">
            <v>51142</v>
          </cell>
          <cell r="EL99">
            <v>11122</v>
          </cell>
          <cell r="EM99"/>
          <cell r="EN99"/>
          <cell r="EO99"/>
          <cell r="EP99"/>
          <cell r="EQ99"/>
          <cell r="ER99"/>
          <cell r="ES99"/>
          <cell r="ET99"/>
          <cell r="EU99"/>
          <cell r="EV99"/>
          <cell r="EW99"/>
          <cell r="EX99"/>
          <cell r="EY99"/>
          <cell r="EZ99"/>
          <cell r="FA99"/>
          <cell r="FB99"/>
          <cell r="FC99"/>
          <cell r="FD99" t="str">
            <v>web-form@smartsheet.com</v>
          </cell>
          <cell r="FE99">
            <v>45719.455741608799</v>
          </cell>
          <cell r="FF99" t="str">
            <v>web-form@smartsheet.com</v>
          </cell>
          <cell r="FG99">
            <v>45719.455741608799</v>
          </cell>
        </row>
        <row r="100">
          <cell r="B100" t="str">
            <v>ALOFA CARE, LLC</v>
          </cell>
          <cell r="C100">
            <v>0</v>
          </cell>
          <cell r="D100" t="str">
            <v>Mara Tela</v>
          </cell>
          <cell r="E100" t="str">
            <v>alofacares@gmail.com</v>
          </cell>
          <cell r="F100" t="str">
            <v>+1 (801) 960-3106</v>
          </cell>
          <cell r="G100" t="str">
            <v>S5150	Respite care services or Respite care services – Unskilled; per 15 minutes
T2017	Habilitation Services; per diem</v>
          </cell>
          <cell r="I100"/>
          <cell r="M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cell r="AO100"/>
          <cell r="AP100"/>
          <cell r="AQ100"/>
          <cell r="AR100"/>
          <cell r="AS100" t="str">
            <v>Yes</v>
          </cell>
          <cell r="AT100">
            <v>1</v>
          </cell>
          <cell r="AU100">
            <v>303</v>
          </cell>
          <cell r="AV100"/>
          <cell r="AW100"/>
          <cell r="AX100"/>
          <cell r="AY100"/>
          <cell r="AZ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t="str">
            <v>Yes</v>
          </cell>
          <cell r="CK100">
            <v>1</v>
          </cell>
          <cell r="CL100">
            <v>0</v>
          </cell>
          <cell r="CM100">
            <v>0</v>
          </cell>
          <cell r="CN100">
            <v>0</v>
          </cell>
          <cell r="CO100">
            <v>0</v>
          </cell>
          <cell r="CP100">
            <v>0</v>
          </cell>
          <cell r="CQ100">
            <v>0</v>
          </cell>
          <cell r="CR100">
            <v>0</v>
          </cell>
          <cell r="CS100">
            <v>0</v>
          </cell>
          <cell r="CT100">
            <v>18</v>
          </cell>
          <cell r="CU100">
            <v>18</v>
          </cell>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v>3673.2</v>
          </cell>
          <cell r="EA100">
            <v>194.73</v>
          </cell>
          <cell r="EB100">
            <v>367.21</v>
          </cell>
          <cell r="EC100"/>
          <cell r="ED100">
            <v>0</v>
          </cell>
          <cell r="EE100"/>
          <cell r="EF100">
            <v>0</v>
          </cell>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D100" t="str">
            <v>web-form@smartsheet.com</v>
          </cell>
          <cell r="FE100">
            <v>45719.473332766203</v>
          </cell>
          <cell r="FF100" t="str">
            <v>web-form@smartsheet.com</v>
          </cell>
          <cell r="FG100">
            <v>45719.473332766203</v>
          </cell>
        </row>
        <row r="101">
          <cell r="B101" t="str">
            <v>GOOD LIFE SENIOR LIVING</v>
          </cell>
          <cell r="C101">
            <v>1063294627</v>
          </cell>
          <cell r="D101" t="str">
            <v>Gina Sproule</v>
          </cell>
          <cell r="E101" t="str">
            <v>ginasproule@goodlifeseniorliving.com</v>
          </cell>
          <cell r="F101" t="str">
            <v>+1 (505) 302-4515</v>
          </cell>
          <cell r="G101" t="str">
            <v>T2031	Adult Residential Services (Assisted Living Facilities Level I, Level II, &amp; Type N Facilities); per diem</v>
          </cell>
          <cell r="I101"/>
          <cell r="M101"/>
          <cell r="P101"/>
          <cell r="Q101"/>
          <cell r="R101"/>
          <cell r="S101"/>
          <cell r="T101"/>
          <cell r="U101"/>
          <cell r="V101"/>
          <cell r="W101"/>
          <cell r="X101"/>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cell r="BE101"/>
          <cell r="BF101"/>
          <cell r="BG101"/>
          <cell r="BH101"/>
          <cell r="BI101"/>
          <cell r="BJ101"/>
          <cell r="BK101"/>
          <cell r="BL101"/>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t="str">
            <v>Yes</v>
          </cell>
          <cell r="CX101">
            <v>0.43</v>
          </cell>
          <cell r="CY101">
            <v>0</v>
          </cell>
          <cell r="CZ101">
            <v>84000</v>
          </cell>
          <cell r="DA101">
            <v>7000</v>
          </cell>
          <cell r="DB101">
            <v>26500</v>
          </cell>
          <cell r="DC101">
            <v>48000</v>
          </cell>
          <cell r="DD101">
            <v>17000</v>
          </cell>
          <cell r="DE101">
            <v>44139</v>
          </cell>
          <cell r="DF101">
            <v>16</v>
          </cell>
          <cell r="DG101">
            <v>5840</v>
          </cell>
          <cell r="DH101">
            <v>2555</v>
          </cell>
          <cell r="DI101" t="str">
            <v>Payroll cost for the year is 428600 that is not accounted for above</v>
          </cell>
          <cell r="DJ101"/>
          <cell r="DK101"/>
          <cell r="DL101"/>
          <cell r="DM101"/>
          <cell r="DN101"/>
          <cell r="DO101"/>
          <cell r="DP101"/>
          <cell r="DQ101"/>
          <cell r="DR101"/>
          <cell r="DS101"/>
          <cell r="DT101"/>
          <cell r="DU101"/>
          <cell r="DV101"/>
          <cell r="DW101"/>
          <cell r="DX101"/>
          <cell r="DY101"/>
          <cell r="DZ101">
            <v>428600</v>
          </cell>
          <cell r="EA101">
            <v>20440</v>
          </cell>
          <cell r="EB101">
            <v>50000</v>
          </cell>
          <cell r="EC101">
            <v>2080</v>
          </cell>
          <cell r="ED101">
            <v>0</v>
          </cell>
          <cell r="EE101">
            <v>0</v>
          </cell>
          <cell r="EF101">
            <v>0</v>
          </cell>
          <cell r="EG101"/>
          <cell r="EH101"/>
          <cell r="EI101">
            <v>678274</v>
          </cell>
          <cell r="EJ101">
            <v>478600</v>
          </cell>
          <cell r="EK101">
            <v>478600</v>
          </cell>
          <cell r="EL101"/>
          <cell r="EM101"/>
          <cell r="EN101"/>
          <cell r="EO101"/>
          <cell r="EP101"/>
          <cell r="EQ101"/>
          <cell r="ER101"/>
          <cell r="ES101"/>
          <cell r="ET101"/>
          <cell r="EU101"/>
          <cell r="EV101"/>
          <cell r="EW101"/>
          <cell r="EX101"/>
          <cell r="EY101"/>
          <cell r="EZ101"/>
          <cell r="FA101"/>
          <cell r="FB101"/>
          <cell r="FC101"/>
          <cell r="FD101" t="str">
            <v>web-form@smartsheet.com</v>
          </cell>
          <cell r="FE101">
            <v>45719.476239814816</v>
          </cell>
          <cell r="FF101" t="str">
            <v>web-form@smartsheet.com</v>
          </cell>
          <cell r="FG101">
            <v>45719.476239814816</v>
          </cell>
        </row>
        <row r="102">
          <cell r="B102" t="str">
            <v>PREMIER FINANCIAL MANAGEMENT SERVICES</v>
          </cell>
          <cell r="C102">
            <v>4101702</v>
          </cell>
          <cell r="D102" t="str">
            <v>PremierFMS Hilary Gilmer</v>
          </cell>
          <cell r="E102" t="str">
            <v>hgilmer@premier-fms.com</v>
          </cell>
          <cell r="F102" t="str">
            <v>+1 (801) 317-1900</v>
          </cell>
          <cell r="G102" t="str">
            <v>S5125	Attendant Care Services or Personal attendant service, participant employed; per 15 minutes
S5150	Respite care services or Respite care services – Unskilled; per 15 minutes
T1005	Respite care services; per 15 minutes
T2040	Financial Management Services; per 15 minutes</v>
          </cell>
          <cell r="I102"/>
          <cell r="M102"/>
          <cell r="P102"/>
          <cell r="Q102"/>
          <cell r="R102"/>
          <cell r="S102"/>
          <cell r="T102"/>
          <cell r="U102"/>
          <cell r="V102"/>
          <cell r="W102"/>
          <cell r="X102"/>
          <cell r="Y102"/>
          <cell r="Z102"/>
          <cell r="AA102"/>
          <cell r="AB102"/>
          <cell r="AC102"/>
          <cell r="AD102"/>
          <cell r="AE102"/>
          <cell r="AF102"/>
          <cell r="AG102"/>
          <cell r="AH102"/>
          <cell r="AI102"/>
          <cell r="AJ102" t="str">
            <v>Yes</v>
          </cell>
          <cell r="AK102">
            <v>1</v>
          </cell>
          <cell r="AL102">
            <v>73768</v>
          </cell>
          <cell r="AM102"/>
          <cell r="AN102"/>
          <cell r="AO102"/>
          <cell r="AP102"/>
          <cell r="AQ102"/>
          <cell r="AR102"/>
          <cell r="AS102" t="str">
            <v>Yes</v>
          </cell>
          <cell r="AT102">
            <v>1</v>
          </cell>
          <cell r="AU102">
            <v>756</v>
          </cell>
          <cell r="AV102"/>
          <cell r="AW102"/>
          <cell r="AX102"/>
          <cell r="AY102"/>
          <cell r="AZ102"/>
          <cell r="BA102"/>
          <cell r="BB102" t="str">
            <v>Yes</v>
          </cell>
          <cell r="BC102">
            <v>1</v>
          </cell>
          <cell r="BD102">
            <v>3200</v>
          </cell>
          <cell r="BE102"/>
          <cell r="BF102"/>
          <cell r="BG102"/>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cell r="DG102"/>
          <cell r="DH102"/>
          <cell r="DI102"/>
          <cell r="DJ102"/>
          <cell r="DK102"/>
          <cell r="DL102"/>
          <cell r="DM102"/>
          <cell r="DN102"/>
          <cell r="DO102"/>
          <cell r="DP102"/>
          <cell r="DQ102"/>
          <cell r="DR102"/>
          <cell r="DS102"/>
          <cell r="DT102"/>
          <cell r="DU102"/>
          <cell r="DV102"/>
          <cell r="DW102" t="str">
            <v>Yes</v>
          </cell>
          <cell r="DX102">
            <v>1</v>
          </cell>
          <cell r="DY102">
            <v>936</v>
          </cell>
          <cell r="DZ102">
            <v>2500000</v>
          </cell>
          <cell r="EA102">
            <v>129000</v>
          </cell>
          <cell r="EB102"/>
          <cell r="EC102"/>
          <cell r="ED102"/>
          <cell r="EE102"/>
          <cell r="EF102"/>
          <cell r="EG102"/>
          <cell r="EH102"/>
          <cell r="EI102">
            <v>241070.1</v>
          </cell>
          <cell r="EJ102">
            <v>146151.65</v>
          </cell>
          <cell r="EK102">
            <v>29854.799999999999</v>
          </cell>
          <cell r="EL102">
            <v>58983.11</v>
          </cell>
          <cell r="EM102"/>
          <cell r="EN102"/>
          <cell r="EO102"/>
          <cell r="EP102"/>
          <cell r="EQ102" t="str">
            <v>This code is also billed by DSPD, however I am only putting total units billed for non-DSPD programs, as I do not always know the codes they use for codes they call RP1 and SL1 etc...</v>
          </cell>
          <cell r="ER102"/>
          <cell r="ES102"/>
          <cell r="ET102" t="str">
            <v>This code is also billed by DSPD, however I am only putting total units billed for non-DSPD programs, as I do not always know the codes they use for codes they call RP1 and SL1 etc…</v>
          </cell>
          <cell r="EU102"/>
          <cell r="EV102" t="str">
            <v>This is the code for nursing respite that is not used by DSPD.</v>
          </cell>
          <cell r="EW102"/>
          <cell r="EX102"/>
          <cell r="EY102"/>
          <cell r="EZ102"/>
          <cell r="FA102"/>
          <cell r="FB102" t="str">
            <v>This code is billed monthly for each client, if the client has payroll processed in that month.  The cost ranges vary by program significantly.  TDW is $48.00 and DSPD is $100.00.</v>
          </cell>
          <cell r="FC102"/>
          <cell r="FD102" t="str">
            <v>web-form@smartsheet.com</v>
          </cell>
          <cell r="FE102">
            <v>45719.498759224538</v>
          </cell>
          <cell r="FF102" t="str">
            <v>web-form@smartsheet.com</v>
          </cell>
          <cell r="FG102">
            <v>45719.498759224538</v>
          </cell>
        </row>
        <row r="103">
          <cell r="B103" t="str">
            <v>CHRYSALIS UTAH</v>
          </cell>
          <cell r="C103">
            <v>1891898045</v>
          </cell>
          <cell r="D103" t="str">
            <v>Doug Faragher</v>
          </cell>
          <cell r="E103" t="str">
            <v>doug.faragher@gochrysalis.com</v>
          </cell>
          <cell r="F103" t="str">
            <v>+1 (801) 623-8552</v>
          </cell>
          <cell r="G103" t="str">
            <v>H0045	Respite Care – Overnight, Out of Home, Room &amp; Board included or Respite Care Services – LTC facility; per diem
Other services or operations not listed above
T2016	Adult Residential Services – (Licensed Assisted Living Facility, Memory Care Unit); per diem
T2017	Habilitation Services; per diem</v>
          </cell>
          <cell r="I103"/>
          <cell r="M103"/>
          <cell r="P103"/>
          <cell r="Q103"/>
          <cell r="R103"/>
          <cell r="S103"/>
          <cell r="T103"/>
          <cell r="U103"/>
          <cell r="V103"/>
          <cell r="W103"/>
          <cell r="X103"/>
          <cell r="Y103"/>
          <cell r="Z103"/>
          <cell r="AA103"/>
          <cell r="AB103" t="str">
            <v>No</v>
          </cell>
          <cell r="AC103">
            <v>1</v>
          </cell>
          <cell r="AD103">
            <v>101</v>
          </cell>
          <cell r="AE103">
            <v>12</v>
          </cell>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t="str">
            <v>No</v>
          </cell>
          <cell r="BX103">
            <v>0.98</v>
          </cell>
          <cell r="BY103">
            <v>0</v>
          </cell>
          <cell r="BZ103">
            <v>0</v>
          </cell>
          <cell r="CA103">
            <v>0</v>
          </cell>
          <cell r="CB103">
            <v>0</v>
          </cell>
          <cell r="CC103">
            <v>0</v>
          </cell>
          <cell r="CD103">
            <v>0</v>
          </cell>
          <cell r="CE103">
            <v>0</v>
          </cell>
          <cell r="CF103">
            <v>747</v>
          </cell>
          <cell r="CG103">
            <v>246686</v>
          </cell>
          <cell r="CH103">
            <v>241752</v>
          </cell>
          <cell r="CI103" t="str">
            <v>The above expenses (Building depreciation or rent expenses, Building/mortgage interest expenses, Property insurance expenses, Property taxes expenses, Utilities expenses, Building repairs/maintenance expense, Resident food costs) are typically paid directly by the clients, but they usually don't have sufficient funds to pay for all of the above expenses (Building depreciation or rent expenses, Building/mortgage interest expenses, Property insurance expenses, Property taxes expenses, Utilities expenses, Building repairs/maintenance expense, Resident food costs), of which the difference is paid for by the provider.  
"Total number of licensed beds" includes both certified and licensed beds.</v>
          </cell>
          <cell r="CJ103" t="str">
            <v>No</v>
          </cell>
          <cell r="CK103">
            <v>0.98</v>
          </cell>
          <cell r="CL103">
            <v>0</v>
          </cell>
          <cell r="CM103">
            <v>0</v>
          </cell>
          <cell r="CN103">
            <v>0</v>
          </cell>
          <cell r="CO103">
            <v>0</v>
          </cell>
          <cell r="CP103">
            <v>0</v>
          </cell>
          <cell r="CQ103">
            <v>0</v>
          </cell>
          <cell r="CR103">
            <v>0</v>
          </cell>
          <cell r="CS103">
            <v>0</v>
          </cell>
          <cell r="CT103">
            <v>0</v>
          </cell>
          <cell r="CU103">
            <v>0</v>
          </cell>
          <cell r="CV103" t="str">
            <v>The above expenses (Building depreciation or rent expenses, Building/mortgage interest expenses, Property insurance expenses, Property taxes expenses, Utilities expenses, Building repairs/maintenance expense, Resident food costs) are typically paid directly by the clients.
"Total number of licensed beds", "Total census days", and "Total Medicaid days" aren't applicable to the clients that we support in this procedure code.</v>
          </cell>
          <cell r="CW103"/>
          <cell r="CX103"/>
          <cell r="CY103"/>
          <cell r="CZ103"/>
          <cell r="DA103"/>
          <cell r="DB103"/>
          <cell r="DC103"/>
          <cell r="DD103"/>
          <cell r="DE103"/>
          <cell r="DF103"/>
          <cell r="DG103"/>
          <cell r="DH103"/>
          <cell r="DI103"/>
          <cell r="DJ103"/>
          <cell r="DK103"/>
          <cell r="DL103"/>
          <cell r="DM103"/>
          <cell r="DN103"/>
          <cell r="DO103"/>
          <cell r="DP103"/>
          <cell r="DQ103"/>
          <cell r="DR103"/>
          <cell r="DS103"/>
          <cell r="DT103"/>
          <cell r="DU103"/>
          <cell r="DV103"/>
          <cell r="DW103"/>
          <cell r="DX103"/>
          <cell r="DY103"/>
          <cell r="DZ103">
            <v>43527168</v>
          </cell>
          <cell r="EA103">
            <v>2365787</v>
          </cell>
          <cell r="EB103">
            <v>2832635</v>
          </cell>
          <cell r="EC103">
            <v>87654</v>
          </cell>
          <cell r="ED103">
            <v>0</v>
          </cell>
          <cell r="EE103">
            <v>1262998</v>
          </cell>
          <cell r="EF103">
            <v>14731932</v>
          </cell>
          <cell r="EG103" t="str">
            <v>Non-wage expenses include employer taxes, fringe benefits, program expenses, supplies, insurance, training, certifications/licenses, bad debt, etc.</v>
          </cell>
          <cell r="EH103" t="str">
            <v>N/A</v>
          </cell>
          <cell r="EI103">
            <v>103313373</v>
          </cell>
          <cell r="EJ103">
            <v>71267756</v>
          </cell>
          <cell r="EK103">
            <v>11010579</v>
          </cell>
          <cell r="EL103">
            <v>11574763</v>
          </cell>
          <cell r="EM103">
            <v>29383877</v>
          </cell>
          <cell r="EN103"/>
          <cell r="EO103"/>
          <cell r="EP103"/>
          <cell r="EQ103"/>
          <cell r="ER103"/>
          <cell r="ES103"/>
          <cell r="ET103"/>
          <cell r="EU103"/>
          <cell r="EV103"/>
          <cell r="EW103"/>
          <cell r="EX103"/>
          <cell r="EY103"/>
          <cell r="EZ103"/>
          <cell r="FA103"/>
          <cell r="FB103"/>
          <cell r="FC103"/>
          <cell r="FD103" t="str">
            <v>web-form@smartsheet.com</v>
          </cell>
          <cell r="FE103">
            <v>45719.517007141207</v>
          </cell>
          <cell r="FF103" t="str">
            <v>web-form@smartsheet.com</v>
          </cell>
          <cell r="FG103">
            <v>45719.517007141207</v>
          </cell>
        </row>
        <row r="104">
          <cell r="B104" t="str">
            <v>CORNERSTONE CARE &amp; FAMILY SERVICES LLC</v>
          </cell>
          <cell r="C104">
            <v>4271158</v>
          </cell>
          <cell r="D104" t="str">
            <v>Alice Asi</v>
          </cell>
          <cell r="E104" t="str">
            <v>admin@cornerstonecaresutah.com</v>
          </cell>
          <cell r="F104" t="str">
            <v>+1 (801) 879-0492</v>
          </cell>
          <cell r="G104" t="str">
            <v>Other services or operations not listed above
S5130	Homemaker services; per 15 minutes</v>
          </cell>
          <cell r="I104"/>
          <cell r="M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t="str">
            <v>Yes</v>
          </cell>
          <cell r="AN104">
            <v>0.14000000000000001</v>
          </cell>
          <cell r="AO104">
            <v>306</v>
          </cell>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cell r="DG104"/>
          <cell r="DH104"/>
          <cell r="DI104"/>
          <cell r="DJ104"/>
          <cell r="DK104"/>
          <cell r="DL104"/>
          <cell r="DM104"/>
          <cell r="DN104"/>
          <cell r="DO104"/>
          <cell r="DP104"/>
          <cell r="DQ104"/>
          <cell r="DR104"/>
          <cell r="DS104"/>
          <cell r="DT104"/>
          <cell r="DU104"/>
          <cell r="DV104"/>
          <cell r="DW104"/>
          <cell r="DX104"/>
          <cell r="DY104"/>
          <cell r="DZ104">
            <v>14115</v>
          </cell>
          <cell r="EA104">
            <v>705.75</v>
          </cell>
          <cell r="EB104"/>
          <cell r="EC104"/>
          <cell r="ED104"/>
          <cell r="EE104"/>
          <cell r="EF104"/>
          <cell r="EG104"/>
          <cell r="EH104"/>
          <cell r="EI104"/>
          <cell r="EJ104"/>
          <cell r="EK104">
            <v>0</v>
          </cell>
          <cell r="EL104"/>
          <cell r="EM104">
            <v>20815.59</v>
          </cell>
          <cell r="EN104"/>
          <cell r="EO104"/>
          <cell r="EP104"/>
          <cell r="EQ104"/>
          <cell r="ER104"/>
          <cell r="ES104"/>
          <cell r="ET104"/>
          <cell r="EU104"/>
          <cell r="EV104"/>
          <cell r="EW104"/>
          <cell r="EX104"/>
          <cell r="EY104"/>
          <cell r="EZ104"/>
          <cell r="FA104"/>
          <cell r="FB104"/>
          <cell r="FC104"/>
          <cell r="FD104" t="str">
            <v>web-form@smartsheet.com</v>
          </cell>
          <cell r="FE104">
            <v>45719.526089247687</v>
          </cell>
          <cell r="FF104" t="str">
            <v>web-form@smartsheet.com</v>
          </cell>
          <cell r="FG104">
            <v>45719.526089247687</v>
          </cell>
        </row>
        <row r="105">
          <cell r="B105" t="str">
            <v>DE NOVO SERVICES</v>
          </cell>
          <cell r="C105">
            <v>1164794434</v>
          </cell>
          <cell r="D105" t="str">
            <v>Jerry Costley</v>
          </cell>
          <cell r="E105" t="str">
            <v>jerrycostley@denovoservices.org</v>
          </cell>
          <cell r="F105" t="str">
            <v>+1 (801) 960-3989</v>
          </cell>
          <cell r="G105" t="str">
            <v>T1016	Case management; per 15 minutes</v>
          </cell>
          <cell r="I105"/>
          <cell r="M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cell r="BE105" t="str">
            <v>No</v>
          </cell>
          <cell r="BF105">
            <v>1</v>
          </cell>
          <cell r="BG105">
            <v>0</v>
          </cell>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cell r="DG105"/>
          <cell r="DH105"/>
          <cell r="DI105"/>
          <cell r="DJ105"/>
          <cell r="DK105"/>
          <cell r="DL105"/>
          <cell r="DM105"/>
          <cell r="DN105"/>
          <cell r="DO105"/>
          <cell r="DP105"/>
          <cell r="DQ105"/>
          <cell r="DR105"/>
          <cell r="DS105"/>
          <cell r="DT105"/>
          <cell r="DU105"/>
          <cell r="DV105"/>
          <cell r="DW105"/>
          <cell r="DX105"/>
          <cell r="DY105"/>
          <cell r="DZ105">
            <v>11392</v>
          </cell>
          <cell r="EA105">
            <v>352</v>
          </cell>
          <cell r="EB105">
            <v>0</v>
          </cell>
          <cell r="EC105">
            <v>120</v>
          </cell>
          <cell r="ED105">
            <v>0</v>
          </cell>
          <cell r="EE105">
            <v>455.62</v>
          </cell>
          <cell r="EF105">
            <v>0</v>
          </cell>
          <cell r="EG105" t="str">
            <v>Because we have not been able to bill, non-wage time has been volunteered.</v>
          </cell>
          <cell r="EH105" t="str">
            <v>This will not be a fair representation of our costs and income going forward.</v>
          </cell>
          <cell r="EI105">
            <v>388376</v>
          </cell>
          <cell r="EJ105">
            <v>226390.5</v>
          </cell>
          <cell r="EK105"/>
          <cell r="EL105"/>
          <cell r="EM105"/>
          <cell r="EN105"/>
          <cell r="EO105"/>
          <cell r="EP105"/>
          <cell r="EQ105"/>
          <cell r="ER105"/>
          <cell r="ES105"/>
          <cell r="ET105"/>
          <cell r="EU105"/>
          <cell r="EV105"/>
          <cell r="EW105" t="str">
            <v>Our billers couldn't figure out how to bill for all of 2024, so our billings were rejected. We used other clinic revenues to cover our costs but realized this isn't sustainable. We are working on addressing the identified issues to get our billings approved.</v>
          </cell>
          <cell r="EX105"/>
          <cell r="EY105"/>
          <cell r="EZ105"/>
          <cell r="FA105"/>
          <cell r="FB105"/>
          <cell r="FC105"/>
          <cell r="FD105" t="str">
            <v>web-form@smartsheet.com</v>
          </cell>
          <cell r="FE105">
            <v>45719.539782812499</v>
          </cell>
          <cell r="FF105" t="str">
            <v>web-form@smartsheet.com</v>
          </cell>
          <cell r="FG105">
            <v>45719.539782812499</v>
          </cell>
        </row>
        <row r="106">
          <cell r="B106" t="str">
            <v>HIDDEN VALLEY AL</v>
          </cell>
          <cell r="C106">
            <v>1497588826</v>
          </cell>
          <cell r="D106" t="str">
            <v>Kirsten Bailey</v>
          </cell>
          <cell r="E106" t="str">
            <v>info@cottageglen.org</v>
          </cell>
          <cell r="F106" t="str">
            <v>+1 (435) 770-2157</v>
          </cell>
          <cell r="G106" t="str">
            <v>T2016	Adult Residential Services – (Licensed Assisted Living Facility, Memory Care Unit); per diem
T2031	Adult Residential Services (Assisted Living Facilities Level I, Level II, &amp; Type N Facilities); per diem</v>
          </cell>
          <cell r="I106"/>
          <cell r="M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t="str">
            <v>Yes</v>
          </cell>
          <cell r="BX106">
            <v>0.05</v>
          </cell>
          <cell r="BY106">
            <v>27000</v>
          </cell>
          <cell r="BZ106"/>
          <cell r="CA106">
            <v>2442.2800000000002</v>
          </cell>
          <cell r="CB106">
            <v>3660</v>
          </cell>
          <cell r="CC106">
            <v>4790.05</v>
          </cell>
          <cell r="CD106">
            <v>4457.75</v>
          </cell>
          <cell r="CE106">
            <v>6907.8</v>
          </cell>
          <cell r="CF106">
            <v>22</v>
          </cell>
          <cell r="CG106">
            <v>6480</v>
          </cell>
          <cell r="CH106">
            <v>715</v>
          </cell>
          <cell r="CI106"/>
          <cell r="CJ106"/>
          <cell r="CK106"/>
          <cell r="CL106"/>
          <cell r="CM106"/>
          <cell r="CN106"/>
          <cell r="CO106"/>
          <cell r="CP106"/>
          <cell r="CQ106"/>
          <cell r="CR106"/>
          <cell r="CS106"/>
          <cell r="CT106"/>
          <cell r="CU106"/>
          <cell r="CV106"/>
          <cell r="CW106" t="str">
            <v>Yes</v>
          </cell>
          <cell r="CX106">
            <v>0.2</v>
          </cell>
          <cell r="CY106">
            <v>108000</v>
          </cell>
          <cell r="CZ106"/>
          <cell r="DA106">
            <v>9769.1299999999992</v>
          </cell>
          <cell r="DB106">
            <v>14400</v>
          </cell>
          <cell r="DC106">
            <v>19160.2</v>
          </cell>
          <cell r="DD106">
            <v>17831</v>
          </cell>
          <cell r="DE106">
            <v>27631.200000000001</v>
          </cell>
          <cell r="DF106">
            <v>36</v>
          </cell>
          <cell r="DG106">
            <v>11440</v>
          </cell>
          <cell r="DH106">
            <v>3575</v>
          </cell>
          <cell r="DI106"/>
          <cell r="DJ106"/>
          <cell r="DK106"/>
          <cell r="DL106"/>
          <cell r="DM106"/>
          <cell r="DN106"/>
          <cell r="DO106"/>
          <cell r="DP106"/>
          <cell r="DQ106"/>
          <cell r="DR106"/>
          <cell r="DS106"/>
          <cell r="DT106"/>
          <cell r="DU106"/>
          <cell r="DV106"/>
          <cell r="DW106"/>
          <cell r="DX106"/>
          <cell r="DY106"/>
          <cell r="DZ106">
            <v>420898</v>
          </cell>
          <cell r="EA106"/>
          <cell r="EB106">
            <v>708088</v>
          </cell>
          <cell r="EC106"/>
          <cell r="ED106"/>
          <cell r="EE106"/>
          <cell r="EF106">
            <v>169912</v>
          </cell>
          <cell r="EG106"/>
          <cell r="EH106"/>
          <cell r="EI106">
            <v>2042116.15</v>
          </cell>
          <cell r="EJ106">
            <v>1365876.5</v>
          </cell>
          <cell r="EK106">
            <v>11588.58</v>
          </cell>
          <cell r="EL106">
            <v>214030</v>
          </cell>
          <cell r="EM106"/>
          <cell r="EN106"/>
          <cell r="EO106"/>
          <cell r="EP106"/>
          <cell r="EQ106"/>
          <cell r="ER106"/>
          <cell r="ES106"/>
          <cell r="ET106"/>
          <cell r="EU106"/>
          <cell r="EV106"/>
          <cell r="EW106"/>
          <cell r="EX106"/>
          <cell r="EY106"/>
          <cell r="EZ106"/>
          <cell r="FA106"/>
          <cell r="FB106"/>
          <cell r="FC106"/>
          <cell r="FD106" t="str">
            <v>web-form@smartsheet.com</v>
          </cell>
          <cell r="FE106">
            <v>45719.545312731483</v>
          </cell>
          <cell r="FF106" t="str">
            <v>web-form@smartsheet.com</v>
          </cell>
          <cell r="FG106">
            <v>45719.545312731483</v>
          </cell>
        </row>
        <row r="107">
          <cell r="B107" t="str">
            <v>LIFE INCLUDED</v>
          </cell>
          <cell r="C107">
            <v>5107097904</v>
          </cell>
          <cell r="D107" t="str">
            <v>Jennifer Standley</v>
          </cell>
          <cell r="E107" t="str">
            <v>jenniferstandley@outlook.com</v>
          </cell>
          <cell r="F107" t="str">
            <v>+1 (435) 896-8997</v>
          </cell>
          <cell r="G107" t="str">
            <v>H0038	Personal Budget Assistance; per 15 minutes
H0043	Adult Residential Services – Certified Independent Living Facility; per diem
S5130	Homemaker services; per 15 minutes
S5135	Companion care adult; per 15 minutes
T1019	Personal attendant service, agency-based; per 15 minutes</v>
          </cell>
          <cell r="I107"/>
          <cell r="L107" t="str">
            <v>Yes</v>
          </cell>
          <cell r="M107">
            <v>1</v>
          </cell>
          <cell r="N107">
            <v>381</v>
          </cell>
          <cell r="P107" t="str">
            <v>Yes</v>
          </cell>
          <cell r="Q107">
            <v>1</v>
          </cell>
          <cell r="R107">
            <v>82691.88</v>
          </cell>
          <cell r="S107">
            <v>0</v>
          </cell>
          <cell r="T107">
            <v>0</v>
          </cell>
          <cell r="U107">
            <v>0</v>
          </cell>
          <cell r="V107">
            <v>21241.46</v>
          </cell>
          <cell r="W107">
            <v>7489.28</v>
          </cell>
          <cell r="X107">
            <v>0</v>
          </cell>
          <cell r="Y107">
            <v>3</v>
          </cell>
          <cell r="Z107">
            <v>365</v>
          </cell>
          <cell r="AA107">
            <v>4918</v>
          </cell>
          <cell r="AB107"/>
          <cell r="AC107"/>
          <cell r="AD107"/>
          <cell r="AE107"/>
          <cell r="AF107"/>
          <cell r="AG107"/>
          <cell r="AH107"/>
          <cell r="AI107"/>
          <cell r="AJ107"/>
          <cell r="AK107"/>
          <cell r="AL107"/>
          <cell r="AM107" t="str">
            <v>No</v>
          </cell>
          <cell r="AN107"/>
          <cell r="AO107"/>
          <cell r="AP107" t="str">
            <v>No</v>
          </cell>
          <cell r="AQ107"/>
          <cell r="AR107"/>
          <cell r="AS107"/>
          <cell r="AT107"/>
          <cell r="AU107"/>
          <cell r="AV107"/>
          <cell r="AW107"/>
          <cell r="AX107"/>
          <cell r="AY107"/>
          <cell r="AZ107"/>
          <cell r="BA107"/>
          <cell r="BB107"/>
          <cell r="BC107"/>
          <cell r="BD107"/>
          <cell r="BE107"/>
          <cell r="BF107"/>
          <cell r="BG107"/>
          <cell r="BH107" t="str">
            <v>No</v>
          </cell>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cell r="DG107"/>
          <cell r="DH107"/>
          <cell r="DI107"/>
          <cell r="DJ107"/>
          <cell r="DK107"/>
          <cell r="DL107"/>
          <cell r="DM107"/>
          <cell r="DN107"/>
          <cell r="DO107"/>
          <cell r="DP107"/>
          <cell r="DQ107"/>
          <cell r="DR107"/>
          <cell r="DS107"/>
          <cell r="DT107"/>
          <cell r="DU107"/>
          <cell r="DV107"/>
          <cell r="DW107"/>
          <cell r="DX107"/>
          <cell r="DY107"/>
          <cell r="DZ107">
            <v>1124721.04</v>
          </cell>
          <cell r="EA107">
            <v>71543.69</v>
          </cell>
          <cell r="EB107">
            <v>91220.66</v>
          </cell>
          <cell r="EC107">
            <v>5070</v>
          </cell>
          <cell r="ED107">
            <v>0</v>
          </cell>
          <cell r="EE107">
            <v>21009.38</v>
          </cell>
          <cell r="EF107">
            <v>8944.18</v>
          </cell>
          <cell r="EG107" t="str">
            <v>The total in the non wage expenses is the cost of training and professional services.  The professional services are the required items needed by the state, like Driving Records, Background Checks, Live Scans for Fingerprints, etc.</v>
          </cell>
          <cell r="EH107"/>
          <cell r="EI107">
            <v>1632929.02</v>
          </cell>
          <cell r="EJ107">
            <v>1258257.3</v>
          </cell>
          <cell r="EK107">
            <v>98773.24</v>
          </cell>
          <cell r="EL107">
            <v>145198.66</v>
          </cell>
          <cell r="EM107"/>
          <cell r="EN107"/>
          <cell r="EO107"/>
          <cell r="EP107"/>
          <cell r="EQ107"/>
          <cell r="ER107"/>
          <cell r="ES107"/>
          <cell r="ET107"/>
          <cell r="EU107"/>
          <cell r="EV107"/>
          <cell r="EW107"/>
          <cell r="EX107"/>
          <cell r="EY107"/>
          <cell r="EZ107"/>
          <cell r="FA107"/>
          <cell r="FB107"/>
          <cell r="FC107"/>
          <cell r="FD107" t="str">
            <v>web-form@smartsheet.com</v>
          </cell>
          <cell r="FE107">
            <v>45719.552139375002</v>
          </cell>
          <cell r="FF107" t="str">
            <v>web-form@smartsheet.com</v>
          </cell>
          <cell r="FG107">
            <v>45719.552139375002</v>
          </cell>
        </row>
        <row r="108">
          <cell r="B108" t="str">
            <v>RMHC Price</v>
          </cell>
          <cell r="C108">
            <v>870468543</v>
          </cell>
          <cell r="D108" t="str">
            <v>Thiennga Nielson</v>
          </cell>
          <cell r="E108" t="str">
            <v>thiennga.nielson@rmcare.com</v>
          </cell>
          <cell r="F108" t="str">
            <v>+1 (801) 660-4007</v>
          </cell>
          <cell r="G108" t="str">
            <v>T1021	Supportive Maintenance, home health aide or Home Health Aide or Certif Nurse Assist, per Visit</v>
          </cell>
          <cell r="I108"/>
          <cell r="M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t="str">
            <v>Yes</v>
          </cell>
          <cell r="BL108">
            <v>4.0000000000000003E-5</v>
          </cell>
          <cell r="BM108">
            <v>3</v>
          </cell>
          <cell r="BN108">
            <v>46.6</v>
          </cell>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cell r="DG108"/>
          <cell r="DH108"/>
          <cell r="DI108"/>
          <cell r="DJ108"/>
          <cell r="DK108"/>
          <cell r="DL108"/>
          <cell r="DM108"/>
          <cell r="DN108"/>
          <cell r="DO108"/>
          <cell r="DP108"/>
          <cell r="DQ108"/>
          <cell r="DR108"/>
          <cell r="DS108"/>
          <cell r="DT108"/>
          <cell r="DU108"/>
          <cell r="DV108"/>
          <cell r="DW108"/>
          <cell r="DX108"/>
          <cell r="DY108"/>
          <cell r="DZ108">
            <v>254153</v>
          </cell>
          <cell r="EA108">
            <v>5811</v>
          </cell>
          <cell r="EB108">
            <v>36971</v>
          </cell>
          <cell r="EC108">
            <v>861</v>
          </cell>
          <cell r="ED108">
            <v>0</v>
          </cell>
          <cell r="EE108">
            <v>0</v>
          </cell>
          <cell r="EF108">
            <v>0</v>
          </cell>
          <cell r="EG108"/>
          <cell r="EH108"/>
          <cell r="EI108">
            <v>1533184</v>
          </cell>
          <cell r="EJ108">
            <v>645848</v>
          </cell>
          <cell r="EK108">
            <v>93004</v>
          </cell>
          <cell r="EL108">
            <v>275270</v>
          </cell>
          <cell r="EM108"/>
          <cell r="EN108"/>
          <cell r="EO108"/>
          <cell r="EP108"/>
          <cell r="EQ108"/>
          <cell r="ER108"/>
          <cell r="ES108"/>
          <cell r="ET108"/>
          <cell r="EU108"/>
          <cell r="EV108"/>
          <cell r="EW108"/>
          <cell r="EX108"/>
          <cell r="EY108"/>
          <cell r="EZ108"/>
          <cell r="FA108"/>
          <cell r="FB108"/>
          <cell r="FC108"/>
          <cell r="FD108" t="str">
            <v>web-form@smartsheet.com</v>
          </cell>
          <cell r="FE108">
            <v>45719.566246909722</v>
          </cell>
          <cell r="FF108" t="str">
            <v>web-form@smartsheet.com</v>
          </cell>
          <cell r="FG108">
            <v>45719.566246909722</v>
          </cell>
        </row>
        <row r="109">
          <cell r="B109" t="str">
            <v>COTTAGE GLEN ASSISTED LIV</v>
          </cell>
          <cell r="C109">
            <v>1003649435</v>
          </cell>
          <cell r="D109" t="str">
            <v>Kirsten Bailey</v>
          </cell>
          <cell r="E109" t="str">
            <v>info@cottageglen.org</v>
          </cell>
          <cell r="F109" t="str">
            <v>+1 (435) 770-2157</v>
          </cell>
          <cell r="G109" t="str">
            <v>T2016	Adult Residential Services – (Licensed Assisted Living Facility, Memory Care Unit); per diem
T2031	Adult Residential Services (Assisted Living Facilities Level I, Level II, &amp; Type N Facilities); per diem</v>
          </cell>
          <cell r="I109"/>
          <cell r="M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cell r="BE109"/>
          <cell r="BF109"/>
          <cell r="BG109"/>
          <cell r="BH109"/>
          <cell r="BI109"/>
          <cell r="BJ109"/>
          <cell r="BK109"/>
          <cell r="BL109"/>
          <cell r="BM109"/>
          <cell r="BN109"/>
          <cell r="BO109"/>
          <cell r="BP109"/>
          <cell r="BQ109"/>
          <cell r="BR109"/>
          <cell r="BS109"/>
          <cell r="BT109"/>
          <cell r="BU109"/>
          <cell r="BV109"/>
          <cell r="BW109" t="str">
            <v>Yes</v>
          </cell>
          <cell r="BX109">
            <v>0.08</v>
          </cell>
          <cell r="BY109"/>
          <cell r="BZ109">
            <v>11232</v>
          </cell>
          <cell r="CA109">
            <v>4322.16</v>
          </cell>
          <cell r="CB109">
            <v>4125</v>
          </cell>
          <cell r="CC109">
            <v>8100</v>
          </cell>
          <cell r="CD109">
            <v>8759</v>
          </cell>
          <cell r="CE109">
            <v>12873</v>
          </cell>
          <cell r="CF109">
            <v>12</v>
          </cell>
          <cell r="CG109">
            <v>4280</v>
          </cell>
          <cell r="CH109">
            <v>1385</v>
          </cell>
          <cell r="CI109"/>
          <cell r="CJ109"/>
          <cell r="CK109"/>
          <cell r="CL109"/>
          <cell r="CM109"/>
          <cell r="CN109"/>
          <cell r="CO109"/>
          <cell r="CP109"/>
          <cell r="CQ109"/>
          <cell r="CR109"/>
          <cell r="CS109"/>
          <cell r="CT109"/>
          <cell r="CU109"/>
          <cell r="CV109"/>
          <cell r="CW109" t="str">
            <v>Yes</v>
          </cell>
          <cell r="CX109">
            <v>0.17</v>
          </cell>
          <cell r="CY109"/>
          <cell r="CZ109">
            <v>23800</v>
          </cell>
          <cell r="DA109">
            <v>9185</v>
          </cell>
          <cell r="DB109">
            <v>8764</v>
          </cell>
          <cell r="DC109">
            <v>17221</v>
          </cell>
          <cell r="DD109">
            <v>18530</v>
          </cell>
          <cell r="DE109">
            <v>27200</v>
          </cell>
          <cell r="DF109">
            <v>36</v>
          </cell>
          <cell r="DG109">
            <v>12215</v>
          </cell>
          <cell r="DH109">
            <v>2588</v>
          </cell>
          <cell r="DI109"/>
          <cell r="DJ109"/>
          <cell r="DK109"/>
          <cell r="DL109"/>
          <cell r="DM109"/>
          <cell r="DN109"/>
          <cell r="DO109"/>
          <cell r="DP109"/>
          <cell r="DQ109"/>
          <cell r="DR109"/>
          <cell r="DS109"/>
          <cell r="DT109"/>
          <cell r="DU109"/>
          <cell r="DV109"/>
          <cell r="DW109"/>
          <cell r="DX109"/>
          <cell r="DY109"/>
          <cell r="DZ109">
            <v>769330</v>
          </cell>
          <cell r="EA109"/>
          <cell r="EB109">
            <v>209095</v>
          </cell>
          <cell r="EC109"/>
          <cell r="ED109">
            <v>59500</v>
          </cell>
          <cell r="EE109"/>
          <cell r="EF109">
            <v>144645</v>
          </cell>
          <cell r="EG109" t="str">
            <v>kitchen supplies, activity supplies and office supplies</v>
          </cell>
          <cell r="EH109"/>
          <cell r="EI109">
            <v>1732686.2</v>
          </cell>
          <cell r="EJ109">
            <v>1167973</v>
          </cell>
          <cell r="EK109">
            <v>26158</v>
          </cell>
          <cell r="EL109">
            <v>158679</v>
          </cell>
          <cell r="EM109"/>
          <cell r="EN109"/>
          <cell r="EO109"/>
          <cell r="EP109"/>
          <cell r="EQ109"/>
          <cell r="ER109"/>
          <cell r="ES109"/>
          <cell r="ET109"/>
          <cell r="EU109"/>
          <cell r="EV109"/>
          <cell r="EW109"/>
          <cell r="EX109"/>
          <cell r="EY109"/>
          <cell r="EZ109"/>
          <cell r="FA109"/>
          <cell r="FB109"/>
          <cell r="FC109"/>
          <cell r="FD109" t="str">
            <v>web-form@smartsheet.com</v>
          </cell>
          <cell r="FE109">
            <v>45719.57205988426</v>
          </cell>
          <cell r="FF109" t="str">
            <v>web-form@smartsheet.com</v>
          </cell>
          <cell r="FG109">
            <v>45719.57205988426</v>
          </cell>
        </row>
        <row r="110">
          <cell r="B110" t="str">
            <v>RMHC St George</v>
          </cell>
          <cell r="C110">
            <v>870468543</v>
          </cell>
          <cell r="D110" t="str">
            <v>Thiennga Nielson</v>
          </cell>
          <cell r="E110" t="str">
            <v>thiennga.nielson@rmcare.com</v>
          </cell>
          <cell r="F110" t="str">
            <v>+1 (801) 660-4007</v>
          </cell>
          <cell r="G110" t="str">
            <v>T1019	Personal attendant service, agency-based; per 15 minutes
T1021	Supportive Maintenance, home health aide or Home Health Aide or Certif Nurse Assist, per Visit</v>
          </cell>
          <cell r="I110"/>
          <cell r="M110"/>
          <cell r="P110"/>
          <cell r="Q110"/>
          <cell r="R110"/>
          <cell r="S110"/>
          <cell r="T110"/>
          <cell r="U110"/>
          <cell r="V110"/>
          <cell r="W110"/>
          <cell r="X110"/>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cell r="BE110"/>
          <cell r="BF110"/>
          <cell r="BG110"/>
          <cell r="BH110" t="str">
            <v>No</v>
          </cell>
          <cell r="BI110"/>
          <cell r="BJ110"/>
          <cell r="BK110" t="str">
            <v>No</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v>511632</v>
          </cell>
          <cell r="EJ110">
            <v>240529</v>
          </cell>
          <cell r="EK110">
            <v>27466</v>
          </cell>
          <cell r="EL110">
            <v>147999</v>
          </cell>
          <cell r="EM110"/>
          <cell r="EN110"/>
          <cell r="EO110"/>
          <cell r="EP110"/>
          <cell r="EQ110"/>
          <cell r="ER110"/>
          <cell r="ES110"/>
          <cell r="ET110"/>
          <cell r="EU110"/>
          <cell r="EV110"/>
          <cell r="EW110"/>
          <cell r="EX110"/>
          <cell r="EY110"/>
          <cell r="EZ110"/>
          <cell r="FA110"/>
          <cell r="FB110"/>
          <cell r="FC110"/>
          <cell r="FD110" t="str">
            <v>web-form@smartsheet.com</v>
          </cell>
          <cell r="FE110">
            <v>45719.573649074075</v>
          </cell>
          <cell r="FF110" t="str">
            <v>web-form@smartsheet.com</v>
          </cell>
          <cell r="FG110">
            <v>45719.573649074075</v>
          </cell>
        </row>
        <row r="111">
          <cell r="B111" t="str">
            <v>RMC The Lodge</v>
          </cell>
          <cell r="C111">
            <v>870271937</v>
          </cell>
          <cell r="D111" t="str">
            <v>Thiennga Nielson</v>
          </cell>
          <cell r="E111" t="str">
            <v>thiennga.nielson@rmcare.com</v>
          </cell>
          <cell r="F111" t="str">
            <v>+1 (801) 660-4007</v>
          </cell>
          <cell r="G111" t="str">
            <v>H0045	Respite Care – Overnight, Out of Home, Room &amp; Board included or Respite Care Services – LTC facility; per diem</v>
          </cell>
          <cell r="I111"/>
          <cell r="M111"/>
          <cell r="P111"/>
          <cell r="Q111"/>
          <cell r="R111"/>
          <cell r="S111"/>
          <cell r="T111"/>
          <cell r="U111"/>
          <cell r="V111"/>
          <cell r="W111"/>
          <cell r="X111"/>
          <cell r="Y111"/>
          <cell r="Z111"/>
          <cell r="AA111"/>
          <cell r="AB111" t="str">
            <v>No</v>
          </cell>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cell r="EW111"/>
          <cell r="EX111"/>
          <cell r="EY111"/>
          <cell r="EZ111"/>
          <cell r="FA111"/>
          <cell r="FB111"/>
          <cell r="FC111"/>
          <cell r="FD111" t="str">
            <v>web-form@smartsheet.com</v>
          </cell>
          <cell r="FE111">
            <v>45719.577254768519</v>
          </cell>
          <cell r="FF111" t="str">
            <v>web-form@smartsheet.com</v>
          </cell>
          <cell r="FG111">
            <v>45719.577254768519</v>
          </cell>
        </row>
        <row r="112">
          <cell r="B112" t="str">
            <v>RMC Willow Springs</v>
          </cell>
          <cell r="C112">
            <v>870271937</v>
          </cell>
          <cell r="D112" t="str">
            <v>Thiennga Nielson</v>
          </cell>
          <cell r="E112" t="str">
            <v>thiennga.nielson@rmcare.com</v>
          </cell>
          <cell r="F112" t="str">
            <v>+1 (801) 660-4007</v>
          </cell>
          <cell r="G112" t="str">
            <v>H0045	Respite Care – Overnight, Out of Home, Room &amp; Board included or Respite Care Services – LTC facility; per diem</v>
          </cell>
          <cell r="I112"/>
          <cell r="M112"/>
          <cell r="P112"/>
          <cell r="Q112"/>
          <cell r="R112"/>
          <cell r="S112"/>
          <cell r="T112"/>
          <cell r="U112"/>
          <cell r="V112"/>
          <cell r="W112"/>
          <cell r="X112"/>
          <cell r="Y112"/>
          <cell r="Z112"/>
          <cell r="AA112"/>
          <cell r="AB112" t="str">
            <v>No</v>
          </cell>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cell r="BH112"/>
          <cell r="BI112"/>
          <cell r="BJ112"/>
          <cell r="BK112"/>
          <cell r="BL112"/>
          <cell r="BM112"/>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cell r="EW112"/>
          <cell r="EX112"/>
          <cell r="EY112"/>
          <cell r="EZ112"/>
          <cell r="FA112"/>
          <cell r="FB112"/>
          <cell r="FC112"/>
          <cell r="FD112" t="str">
            <v>web-form@smartsheet.com</v>
          </cell>
          <cell r="FE112">
            <v>45719.579002673614</v>
          </cell>
          <cell r="FF112" t="str">
            <v>web-form@smartsheet.com</v>
          </cell>
          <cell r="FG112">
            <v>45719.579002673614</v>
          </cell>
        </row>
        <row r="113">
          <cell r="B113" t="str">
            <v>CHP LAYTON UT TENANT CORP</v>
          </cell>
          <cell r="C113">
            <v>1477958353</v>
          </cell>
          <cell r="D113" t="str">
            <v>Kevin Sokol</v>
          </cell>
          <cell r="E113" t="str">
            <v>ksokol@generationsllc.com</v>
          </cell>
          <cell r="F113" t="str">
            <v>+1 (503) 652-0750</v>
          </cell>
          <cell r="G113" t="str">
            <v>H0043	Adult Residential Services – Certified Independent Living Facility; per diem
T2016	Adult Residential Services – (Licensed Assisted Living Facility, Memory Care Unit); per diem
T2031	Adult Residential Services (Assisted Living Facilities Level I, Level II, &amp; Type N Facilities); per diem</v>
          </cell>
          <cell r="I113"/>
          <cell r="M113"/>
          <cell r="P113" t="str">
            <v>No</v>
          </cell>
          <cell r="Q113">
            <v>2.5999999999999999E-3</v>
          </cell>
          <cell r="R113">
            <v>2883.27</v>
          </cell>
          <cell r="S113">
            <v>0</v>
          </cell>
          <cell r="T113">
            <v>2741.78</v>
          </cell>
          <cell r="U113">
            <v>71.22</v>
          </cell>
          <cell r="V113">
            <v>547.09</v>
          </cell>
          <cell r="W113">
            <v>204.84</v>
          </cell>
          <cell r="X113">
            <v>894.39</v>
          </cell>
          <cell r="Y113">
            <v>120</v>
          </cell>
          <cell r="Z113">
            <v>40946</v>
          </cell>
          <cell r="AA113">
            <v>109</v>
          </cell>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cell r="BE113"/>
          <cell r="BF113"/>
          <cell r="BG113"/>
          <cell r="BH113"/>
          <cell r="BI113"/>
          <cell r="BJ113"/>
          <cell r="BK113"/>
          <cell r="BL113"/>
          <cell r="BM113"/>
          <cell r="BN113"/>
          <cell r="BO113"/>
          <cell r="BP113"/>
          <cell r="BQ113"/>
          <cell r="BR113"/>
          <cell r="BS113"/>
          <cell r="BT113"/>
          <cell r="BU113"/>
          <cell r="BV113"/>
          <cell r="BW113" t="str">
            <v>Yes</v>
          </cell>
          <cell r="BX113">
            <v>6.9999999999999993E-3</v>
          </cell>
          <cell r="BY113">
            <v>1649.75</v>
          </cell>
          <cell r="BZ113">
            <v>0</v>
          </cell>
          <cell r="CA113">
            <v>1568.79</v>
          </cell>
          <cell r="CB113">
            <v>40.75</v>
          </cell>
          <cell r="CC113">
            <v>313.04000000000002</v>
          </cell>
          <cell r="CD113">
            <v>117.21</v>
          </cell>
          <cell r="CE113">
            <v>511.75</v>
          </cell>
          <cell r="CF113">
            <v>120</v>
          </cell>
          <cell r="CG113">
            <v>8890</v>
          </cell>
          <cell r="CH113">
            <v>63</v>
          </cell>
          <cell r="CI113"/>
          <cell r="CJ113"/>
          <cell r="CK113"/>
          <cell r="CL113"/>
          <cell r="CM113"/>
          <cell r="CN113"/>
          <cell r="CO113"/>
          <cell r="CP113"/>
          <cell r="CQ113"/>
          <cell r="CR113"/>
          <cell r="CS113"/>
          <cell r="CT113"/>
          <cell r="CU113"/>
          <cell r="CV113"/>
          <cell r="CW113" t="str">
            <v>Yes</v>
          </cell>
          <cell r="CX113">
            <v>7.5900000000000004E-3</v>
          </cell>
          <cell r="CY113">
            <v>5765.67</v>
          </cell>
          <cell r="CZ113">
            <v>0</v>
          </cell>
          <cell r="DA113">
            <v>5482.74</v>
          </cell>
          <cell r="DB113">
            <v>142.41999999999999</v>
          </cell>
          <cell r="DC113">
            <v>1094.02</v>
          </cell>
          <cell r="DD113">
            <v>409.63</v>
          </cell>
          <cell r="DE113">
            <v>1788.51</v>
          </cell>
          <cell r="DF113">
            <v>30</v>
          </cell>
          <cell r="DG113">
            <v>28497</v>
          </cell>
          <cell r="DH113">
            <v>2164</v>
          </cell>
          <cell r="DI113"/>
          <cell r="DJ113"/>
          <cell r="DK113"/>
          <cell r="DL113"/>
          <cell r="DM113"/>
          <cell r="DN113"/>
          <cell r="DO113"/>
          <cell r="DP113"/>
          <cell r="DQ113"/>
          <cell r="DR113"/>
          <cell r="DS113"/>
          <cell r="DT113"/>
          <cell r="DU113"/>
          <cell r="DV113"/>
          <cell r="DW113"/>
          <cell r="DX113"/>
          <cell r="DY113"/>
          <cell r="DZ113">
            <v>3553353</v>
          </cell>
          <cell r="EA113">
            <v>191261</v>
          </cell>
          <cell r="EB113">
            <v>494144</v>
          </cell>
          <cell r="EC113">
            <v>18603</v>
          </cell>
          <cell r="ED113">
            <v>96375</v>
          </cell>
          <cell r="EE113">
            <v>681</v>
          </cell>
          <cell r="EF113">
            <v>4093</v>
          </cell>
          <cell r="EG113" t="str">
            <v>Crisis Prevention Training, BLS Training, AAPACN RAC Certification, and CNA Training.</v>
          </cell>
          <cell r="EH113"/>
          <cell r="EI113">
            <v>8667409</v>
          </cell>
          <cell r="EJ113">
            <v>5058461</v>
          </cell>
          <cell r="EK113">
            <v>708954</v>
          </cell>
          <cell r="EL113">
            <v>4518763</v>
          </cell>
          <cell r="EM113"/>
          <cell r="EN113"/>
          <cell r="EO113"/>
          <cell r="EP113"/>
          <cell r="EQ113"/>
          <cell r="ER113"/>
          <cell r="ES113"/>
          <cell r="ET113"/>
          <cell r="EU113"/>
          <cell r="EV113"/>
          <cell r="EW113"/>
          <cell r="EX113"/>
          <cell r="EY113"/>
          <cell r="EZ113"/>
          <cell r="FA113"/>
          <cell r="FB113"/>
          <cell r="FC113"/>
          <cell r="FD113" t="str">
            <v>web-form@smartsheet.com</v>
          </cell>
          <cell r="FE113">
            <v>45719.596345729165</v>
          </cell>
          <cell r="FF113" t="str">
            <v>web-form@smartsheet.com</v>
          </cell>
          <cell r="FG113">
            <v>45719.596345729165</v>
          </cell>
        </row>
        <row r="114">
          <cell r="B114" t="str">
            <v>EATON ALLIANCE INC</v>
          </cell>
          <cell r="C114">
            <v>3592</v>
          </cell>
          <cell r="D114" t="str">
            <v>Kim Loyola</v>
          </cell>
          <cell r="E114" t="str">
            <v>kim.loyola@eatonalliance.com</v>
          </cell>
          <cell r="F114" t="str">
            <v>+1 (801) 597-8529</v>
          </cell>
          <cell r="G114" t="str">
            <v>H0038	Personal Budget Assistance; per 15 minutes
S5102	Adult Day Care (Adult Day Health) or Adult day health services; per diem
T2031	Adult Residential Services (Assisted Living Facilities Level I, Level II, &amp; Type N Facilities); per diem</v>
          </cell>
          <cell r="I114"/>
          <cell r="L114" t="str">
            <v>Yes</v>
          </cell>
          <cell r="M114">
            <v>1</v>
          </cell>
          <cell r="N114">
            <v>1244</v>
          </cell>
          <cell r="P114"/>
          <cell r="Q114"/>
          <cell r="R114"/>
          <cell r="S114"/>
          <cell r="T114"/>
          <cell r="U114"/>
          <cell r="V114"/>
          <cell r="W114"/>
          <cell r="X114"/>
          <cell r="Y114"/>
          <cell r="Z114"/>
          <cell r="AA114"/>
          <cell r="AB114"/>
          <cell r="AC114"/>
          <cell r="AD114"/>
          <cell r="AE114"/>
          <cell r="AF114" t="str">
            <v>Yes</v>
          </cell>
          <cell r="AG114">
            <v>1</v>
          </cell>
          <cell r="AH114">
            <v>7250</v>
          </cell>
          <cell r="AI114">
            <v>6</v>
          </cell>
          <cell r="AJ114"/>
          <cell r="AK114"/>
          <cell r="AL114"/>
          <cell r="AM114"/>
          <cell r="AN114"/>
          <cell r="AO114"/>
          <cell r="AP114"/>
          <cell r="AQ114"/>
          <cell r="AR114"/>
          <cell r="AS114"/>
          <cell r="AT114"/>
          <cell r="AU114"/>
          <cell r="AV114"/>
          <cell r="AW114"/>
          <cell r="AX114"/>
          <cell r="AY114"/>
          <cell r="AZ114"/>
          <cell r="BA114"/>
          <cell r="BB114"/>
          <cell r="BC114"/>
          <cell r="BD114"/>
          <cell r="BE114"/>
          <cell r="BF114"/>
          <cell r="BG114"/>
          <cell r="BH114"/>
          <cell r="BI114"/>
          <cell r="BJ114"/>
          <cell r="BK114"/>
          <cell r="BL114"/>
          <cell r="BM114"/>
          <cell r="BN114"/>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t="str">
            <v>Yes</v>
          </cell>
          <cell r="CX114">
            <v>1</v>
          </cell>
          <cell r="CY114">
            <v>77698</v>
          </cell>
          <cell r="CZ114">
            <v>0</v>
          </cell>
          <cell r="DA114">
            <v>0</v>
          </cell>
          <cell r="DB114">
            <v>25000</v>
          </cell>
          <cell r="DC114">
            <v>18595</v>
          </cell>
          <cell r="DD114">
            <v>56454</v>
          </cell>
          <cell r="DE114">
            <v>0</v>
          </cell>
          <cell r="DF114">
            <v>42</v>
          </cell>
          <cell r="DG114">
            <v>11075</v>
          </cell>
          <cell r="DH114">
            <v>10998</v>
          </cell>
          <cell r="DI114"/>
          <cell r="DJ114"/>
          <cell r="DK114"/>
          <cell r="DL114"/>
          <cell r="DM114"/>
          <cell r="DN114"/>
          <cell r="DO114"/>
          <cell r="DP114"/>
          <cell r="DQ114"/>
          <cell r="DR114"/>
          <cell r="DS114"/>
          <cell r="DT114"/>
          <cell r="DU114"/>
          <cell r="DV114"/>
          <cell r="DW114"/>
          <cell r="DX114"/>
          <cell r="DY114"/>
          <cell r="DZ114">
            <v>2673791</v>
          </cell>
          <cell r="EA114">
            <v>144796</v>
          </cell>
          <cell r="EB114">
            <v>942828</v>
          </cell>
          <cell r="EC114">
            <v>41115</v>
          </cell>
          <cell r="ED114">
            <v>930587</v>
          </cell>
          <cell r="EE114">
            <v>21859</v>
          </cell>
          <cell r="EF114">
            <v>28103</v>
          </cell>
          <cell r="EG114" t="str">
            <v>Travel, background checks and training (CPR &amp; NCI)</v>
          </cell>
          <cell r="EH114"/>
          <cell r="EI114">
            <v>5397257.7199999997</v>
          </cell>
          <cell r="EJ114">
            <v>4644183.1500000004</v>
          </cell>
          <cell r="EK114">
            <v>452653.76</v>
          </cell>
          <cell r="EL114">
            <v>541026.76</v>
          </cell>
          <cell r="EM114"/>
          <cell r="EN114"/>
          <cell r="EO114"/>
          <cell r="EP114"/>
          <cell r="EQ114"/>
          <cell r="ER114"/>
          <cell r="ES114"/>
          <cell r="ET114"/>
          <cell r="EU114"/>
          <cell r="EV114"/>
          <cell r="EW114"/>
          <cell r="EX114"/>
          <cell r="EY114"/>
          <cell r="EZ114"/>
          <cell r="FA114"/>
          <cell r="FB114"/>
          <cell r="FC114"/>
          <cell r="FD114" t="str">
            <v>web-form@smartsheet.com</v>
          </cell>
          <cell r="FE114">
            <v>45719.618514884256</v>
          </cell>
          <cell r="FF114" t="str">
            <v>web-form@smartsheet.com</v>
          </cell>
          <cell r="FG114">
            <v>45719.618514884256</v>
          </cell>
        </row>
        <row r="115">
          <cell r="B115" t="str">
            <v>FAMILY HAVEN ENTERPRISES, L.L.C.</v>
          </cell>
          <cell r="C115">
            <v>119487</v>
          </cell>
          <cell r="D115" t="str">
            <v>Elizabeth Vi</v>
          </cell>
          <cell r="E115" t="str">
            <v>familyhavenenterprises@gmail.com</v>
          </cell>
          <cell r="F115" t="str">
            <v>+1 (801) 696-2881</v>
          </cell>
          <cell r="G115" t="str">
            <v>H0038	Personal Budget Assistance; per 15 minutes
H0043	Adult Residential Services – Certified Independent Living Facility; per diem
Other services or operations not listed above</v>
          </cell>
          <cell r="I115"/>
          <cell r="L115" t="str">
            <v>Yes</v>
          </cell>
          <cell r="M115">
            <v>1</v>
          </cell>
          <cell r="N115">
            <v>44</v>
          </cell>
          <cell r="O115" t="str">
            <v>PBA was 2 units per month per client.</v>
          </cell>
          <cell r="P115" t="str">
            <v>Yes</v>
          </cell>
          <cell r="Q115">
            <v>1</v>
          </cell>
          <cell r="R115">
            <v>500</v>
          </cell>
          <cell r="S115">
            <v>0</v>
          </cell>
          <cell r="T115">
            <v>0</v>
          </cell>
          <cell r="U115">
            <v>0</v>
          </cell>
          <cell r="V115">
            <v>100</v>
          </cell>
          <cell r="W115">
            <v>0</v>
          </cell>
          <cell r="X115">
            <v>150</v>
          </cell>
          <cell r="Y115">
            <v>4</v>
          </cell>
          <cell r="Z115">
            <v>365</v>
          </cell>
          <cell r="AA115">
            <v>365</v>
          </cell>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cell r="BE115"/>
          <cell r="BF115"/>
          <cell r="BG115"/>
          <cell r="BH115"/>
          <cell r="BI115"/>
          <cell r="BJ115"/>
          <cell r="BK115"/>
          <cell r="BL115"/>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cell r="DG115"/>
          <cell r="DH115"/>
          <cell r="DI115"/>
          <cell r="DJ115"/>
          <cell r="DK115"/>
          <cell r="DL115"/>
          <cell r="DM115"/>
          <cell r="DN115"/>
          <cell r="DO115"/>
          <cell r="DP115"/>
          <cell r="DQ115"/>
          <cell r="DR115"/>
          <cell r="DS115"/>
          <cell r="DT115"/>
          <cell r="DU115"/>
          <cell r="DV115"/>
          <cell r="DW115"/>
          <cell r="DX115"/>
          <cell r="DY115"/>
          <cell r="DZ115">
            <v>167755</v>
          </cell>
          <cell r="EA115">
            <v>11712</v>
          </cell>
          <cell r="EB115">
            <v>32000</v>
          </cell>
          <cell r="EC115">
            <v>1440</v>
          </cell>
          <cell r="ED115">
            <v>167755</v>
          </cell>
          <cell r="EE115">
            <v>0</v>
          </cell>
          <cell r="EF115">
            <v>9200</v>
          </cell>
          <cell r="EG115" t="str">
            <v>travel
meals
supplies
training</v>
          </cell>
          <cell r="EH115"/>
          <cell r="EI115">
            <v>209497</v>
          </cell>
          <cell r="EJ115">
            <v>201327</v>
          </cell>
          <cell r="EK115">
            <v>64800</v>
          </cell>
          <cell r="EL115">
            <v>8000</v>
          </cell>
          <cell r="EM115">
            <v>33572</v>
          </cell>
          <cell r="EN115" t="str">
            <v>The numbers above are per month and per client in HHS.</v>
          </cell>
          <cell r="EO115"/>
          <cell r="EP115"/>
          <cell r="EQ115"/>
          <cell r="ER115"/>
          <cell r="ES115"/>
          <cell r="ET115"/>
          <cell r="EU115"/>
          <cell r="EV115"/>
          <cell r="EW115"/>
          <cell r="EX115"/>
          <cell r="EY115"/>
          <cell r="EZ115"/>
          <cell r="FA115"/>
          <cell r="FB115"/>
          <cell r="FC115"/>
          <cell r="FD115" t="str">
            <v>web-form@smartsheet.com</v>
          </cell>
          <cell r="FE115">
            <v>45719.62653814815</v>
          </cell>
          <cell r="FF115" t="str">
            <v>web-form@smartsheet.com</v>
          </cell>
          <cell r="FG115">
            <v>45719.62653814815</v>
          </cell>
        </row>
        <row r="116">
          <cell r="B116" t="str">
            <v>COUNTRY CARE II</v>
          </cell>
          <cell r="C116">
            <v>1962564815</v>
          </cell>
          <cell r="D116" t="str">
            <v>Charles Bramall</v>
          </cell>
          <cell r="E116" t="str">
            <v>ctoddb@gmail.com</v>
          </cell>
          <cell r="F116" t="str">
            <v>+1 (801) 367-9369</v>
          </cell>
          <cell r="G116" t="str">
            <v>T2031	Adult Residential Services (Assisted Living Facilities Level I, Level II, &amp; Type N Facilities); per diem</v>
          </cell>
          <cell r="I116"/>
          <cell r="M116"/>
          <cell r="P116"/>
          <cell r="Q116"/>
          <cell r="R116"/>
          <cell r="S116"/>
          <cell r="T116"/>
          <cell r="U116"/>
          <cell r="V116"/>
          <cell r="W116"/>
          <cell r="X116"/>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t="str">
            <v>Yes</v>
          </cell>
          <cell r="CX116">
            <v>0.33</v>
          </cell>
          <cell r="CY116">
            <v>180000</v>
          </cell>
          <cell r="CZ116"/>
          <cell r="DA116">
            <v>13203.1</v>
          </cell>
          <cell r="DB116">
            <v>4783.1499999999996</v>
          </cell>
          <cell r="DC116">
            <v>32039.51</v>
          </cell>
          <cell r="DD116">
            <v>14113.24</v>
          </cell>
          <cell r="DE116">
            <v>86746.1</v>
          </cell>
          <cell r="DF116">
            <v>32</v>
          </cell>
          <cell r="DG116">
            <v>8988</v>
          </cell>
          <cell r="DH116">
            <v>2962</v>
          </cell>
          <cell r="DI116" t="str">
            <v>The building changed ownership in 2024. The numbers are reflective of what happened beginning April 1, 2024 through the end of the year, with the new owner.</v>
          </cell>
          <cell r="DJ116"/>
          <cell r="DK116"/>
          <cell r="DL116"/>
          <cell r="DM116"/>
          <cell r="DN116"/>
          <cell r="DO116"/>
          <cell r="DP116"/>
          <cell r="DQ116"/>
          <cell r="DR116"/>
          <cell r="DS116"/>
          <cell r="DT116"/>
          <cell r="DU116"/>
          <cell r="DV116"/>
          <cell r="DW116"/>
          <cell r="DX116"/>
          <cell r="DY116"/>
          <cell r="DZ116">
            <v>350555.26</v>
          </cell>
          <cell r="EA116">
            <v>16308.57</v>
          </cell>
          <cell r="EB116">
            <v>86249.88</v>
          </cell>
          <cell r="EC116">
            <v>1560.6</v>
          </cell>
          <cell r="ED116">
            <v>15860</v>
          </cell>
          <cell r="EE116">
            <v>0</v>
          </cell>
          <cell r="EF116">
            <v>359340.43</v>
          </cell>
          <cell r="EG116" t="str">
            <v>All other non-wages  expenses covered in this category.</v>
          </cell>
          <cell r="EH116"/>
          <cell r="EI116">
            <v>821045.57</v>
          </cell>
          <cell r="EJ116">
            <v>436805.14</v>
          </cell>
          <cell r="EK116">
            <v>59988.69</v>
          </cell>
          <cell r="EL116">
            <v>796145.57</v>
          </cell>
          <cell r="EM116"/>
          <cell r="EN116"/>
          <cell r="EO116"/>
          <cell r="EP116"/>
          <cell r="EQ116"/>
          <cell r="ER116"/>
          <cell r="ES116"/>
          <cell r="ET116"/>
          <cell r="EU116"/>
          <cell r="EV116"/>
          <cell r="EW116"/>
          <cell r="EX116"/>
          <cell r="EY116"/>
          <cell r="EZ116"/>
          <cell r="FA116"/>
          <cell r="FB116"/>
          <cell r="FC116"/>
          <cell r="FD116" t="str">
            <v>web-form@smartsheet.com</v>
          </cell>
          <cell r="FE116">
            <v>45719.638075254632</v>
          </cell>
          <cell r="FF116" t="str">
            <v>web-form@smartsheet.com</v>
          </cell>
          <cell r="FG116">
            <v>45719.638075254632</v>
          </cell>
        </row>
        <row r="117">
          <cell r="B117" t="str">
            <v>PARKSIDE MANOR LLC</v>
          </cell>
          <cell r="C117">
            <v>1064402</v>
          </cell>
          <cell r="D117" t="str">
            <v>Tammy Kelly</v>
          </cell>
          <cell r="E117" t="str">
            <v>tkpside2000@gmail.com</v>
          </cell>
          <cell r="F117" t="str">
            <v>+1 (435) 724-0992</v>
          </cell>
          <cell r="G117" t="str">
            <v>T2031	Adult Residential Services (Assisted Living Facilities Level I, Level II, &amp; Type N Facilities); per diem</v>
          </cell>
          <cell r="I117"/>
          <cell r="M117"/>
          <cell r="P117"/>
          <cell r="Q117"/>
          <cell r="R117"/>
          <cell r="S117"/>
          <cell r="T117"/>
          <cell r="U117"/>
          <cell r="V117"/>
          <cell r="W117"/>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cell r="BE117"/>
          <cell r="BF117"/>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t="str">
            <v>Yes</v>
          </cell>
          <cell r="CX117">
            <v>6.25E-2</v>
          </cell>
          <cell r="CY117">
            <v>36624</v>
          </cell>
          <cell r="CZ117">
            <v>0</v>
          </cell>
          <cell r="DA117">
            <v>6828.25</v>
          </cell>
          <cell r="DB117">
            <v>2914.84</v>
          </cell>
          <cell r="DC117">
            <v>19378.91</v>
          </cell>
          <cell r="DD117">
            <v>9359.1299999999992</v>
          </cell>
          <cell r="DE117">
            <v>72000</v>
          </cell>
          <cell r="DF117">
            <v>16</v>
          </cell>
          <cell r="DG117">
            <v>5835</v>
          </cell>
          <cell r="DH117">
            <v>362</v>
          </cell>
          <cell r="DI117"/>
          <cell r="DJ117"/>
          <cell r="DK117"/>
          <cell r="DL117"/>
          <cell r="DM117"/>
          <cell r="DN117"/>
          <cell r="DO117"/>
          <cell r="DP117"/>
          <cell r="DQ117"/>
          <cell r="DR117"/>
          <cell r="DS117"/>
          <cell r="DT117"/>
          <cell r="DU117"/>
          <cell r="DV117"/>
          <cell r="DW117"/>
          <cell r="DX117"/>
          <cell r="DY117"/>
          <cell r="DZ117">
            <v>153159.42000000001</v>
          </cell>
          <cell r="EA117">
            <v>9987.2999999999993</v>
          </cell>
          <cell r="EB117">
            <v>32000.04</v>
          </cell>
          <cell r="EC117">
            <v>2080</v>
          </cell>
          <cell r="ED117">
            <v>0</v>
          </cell>
          <cell r="EE117">
            <v>0</v>
          </cell>
          <cell r="EF117">
            <v>0</v>
          </cell>
          <cell r="EG117"/>
          <cell r="EH117"/>
          <cell r="EI117">
            <v>506613.57</v>
          </cell>
          <cell r="EJ117">
            <v>185159.46</v>
          </cell>
          <cell r="EK117">
            <v>15048.41</v>
          </cell>
          <cell r="EL117">
            <v>276148.92</v>
          </cell>
          <cell r="EM117"/>
          <cell r="EN117"/>
          <cell r="EO117"/>
          <cell r="EP117"/>
          <cell r="EQ117"/>
          <cell r="ER117"/>
          <cell r="ES117"/>
          <cell r="ET117"/>
          <cell r="EU117"/>
          <cell r="EV117"/>
          <cell r="EW117"/>
          <cell r="EX117"/>
          <cell r="EY117"/>
          <cell r="EZ117"/>
          <cell r="FA117"/>
          <cell r="FB117"/>
          <cell r="FC117"/>
          <cell r="FD117" t="str">
            <v>web-form@smartsheet.com</v>
          </cell>
          <cell r="FE117">
            <v>45719.649697337962</v>
          </cell>
          <cell r="FF117" t="str">
            <v>sdyer@mslc.com</v>
          </cell>
          <cell r="FG117">
            <v>45723.511273148149</v>
          </cell>
        </row>
        <row r="118">
          <cell r="B118" t="str">
            <v>PHEASANT HOLLOW VALLEY MNTL</v>
          </cell>
          <cell r="C118">
            <v>1932166980</v>
          </cell>
          <cell r="D118" t="str">
            <v>Sohaib Chaudhary</v>
          </cell>
          <cell r="E118" t="str">
            <v>sohaibc@valleycares.com</v>
          </cell>
          <cell r="F118" t="str">
            <v>+1 (801) 400-9192</v>
          </cell>
          <cell r="G118" t="str">
            <v>T2033	Adult Residential Services – (Licensed Community Residential Care); per diem</v>
          </cell>
          <cell r="I118"/>
          <cell r="M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cell r="BE118"/>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t="str">
            <v>Yes</v>
          </cell>
          <cell r="DK118">
            <v>0.91</v>
          </cell>
          <cell r="DL118">
            <v>49987</v>
          </cell>
          <cell r="DM118">
            <v>0</v>
          </cell>
          <cell r="DN118">
            <v>0</v>
          </cell>
          <cell r="DO118">
            <v>22928</v>
          </cell>
          <cell r="DP118">
            <v>46211</v>
          </cell>
          <cell r="DQ118">
            <v>111418</v>
          </cell>
          <cell r="DR118">
            <v>47800</v>
          </cell>
          <cell r="DS118">
            <v>7686</v>
          </cell>
          <cell r="DT118">
            <v>5972</v>
          </cell>
          <cell r="DU118">
            <v>5614</v>
          </cell>
          <cell r="DV118"/>
          <cell r="DW118"/>
          <cell r="DX118"/>
          <cell r="DY118"/>
          <cell r="DZ118">
            <v>347455</v>
          </cell>
          <cell r="EA118">
            <v>18436</v>
          </cell>
          <cell r="EB118">
            <v>78070</v>
          </cell>
          <cell r="EC118">
            <v>2696</v>
          </cell>
          <cell r="ED118">
            <v>0</v>
          </cell>
          <cell r="EE118">
            <v>13</v>
          </cell>
          <cell r="EF118">
            <v>247772</v>
          </cell>
          <cell r="EG118" t="str">
            <v>includes utilities, property insurance, building improvement, software and supplies, client food and supplies, vehicle and equipment depreciation, employee incentives, automobile expense etc</v>
          </cell>
          <cell r="EH118"/>
          <cell r="EI118">
            <v>754424</v>
          </cell>
          <cell r="EJ118">
            <v>425525</v>
          </cell>
          <cell r="EK118">
            <v>81114</v>
          </cell>
          <cell r="EL118">
            <v>253846</v>
          </cell>
          <cell r="EM118"/>
          <cell r="EN118"/>
          <cell r="EO118"/>
          <cell r="EP118"/>
          <cell r="EQ118"/>
          <cell r="ER118"/>
          <cell r="ES118"/>
          <cell r="ET118"/>
          <cell r="EU118"/>
          <cell r="EV118"/>
          <cell r="EW118"/>
          <cell r="EX118"/>
          <cell r="EY118"/>
          <cell r="EZ118"/>
          <cell r="FA118"/>
          <cell r="FB118"/>
          <cell r="FC118"/>
          <cell r="FD118" t="str">
            <v>web-form@smartsheet.com</v>
          </cell>
          <cell r="FE118">
            <v>45719.684806608799</v>
          </cell>
          <cell r="FF118" t="str">
            <v>web-form@smartsheet.com</v>
          </cell>
          <cell r="FG118">
            <v>45719.684806608799</v>
          </cell>
        </row>
        <row r="119">
          <cell r="B119" t="str">
            <v>DANVILLE SERVICES OF UTAH</v>
          </cell>
          <cell r="C119">
            <v>1316004583</v>
          </cell>
          <cell r="D119" t="str">
            <v>James Whipple</v>
          </cell>
          <cell r="E119" t="str">
            <v>j.whipple@danvilleservices.com</v>
          </cell>
          <cell r="F119" t="str">
            <v>+1 (801) 316-1105</v>
          </cell>
          <cell r="G119" t="str">
            <v>H0034	Medication Administration – Medication Set-up; per 15 minutes
H0038	Personal Budget Assistance; per 15 minutes
H0045	Respite Care – Overnight, Out of Home, Room &amp; Board included or Respite Care Services – LTC facility; per diem
Other services or operations not listed above
S5150	Respite care services or Respite care services – Unskilled; per 15 minutes
T2016	Adult Residential Services – (Licensed Assisted Living Facility, Memory Care Unit); per diem
T2017	Habilitation Services; per diem</v>
          </cell>
          <cell r="H119" t="str">
            <v>Yes</v>
          </cell>
          <cell r="I119">
            <v>1</v>
          </cell>
          <cell r="K119">
            <v>14914</v>
          </cell>
          <cell r="L119" t="str">
            <v>Yes</v>
          </cell>
          <cell r="M119">
            <v>1</v>
          </cell>
          <cell r="N119">
            <v>3918</v>
          </cell>
          <cell r="P119"/>
          <cell r="Q119"/>
          <cell r="R119"/>
          <cell r="S119"/>
          <cell r="T119"/>
          <cell r="U119"/>
          <cell r="V119"/>
          <cell r="W119"/>
          <cell r="X119"/>
          <cell r="Y119"/>
          <cell r="Z119"/>
          <cell r="AA119"/>
          <cell r="AB119" t="str">
            <v>Yes</v>
          </cell>
          <cell r="AC119">
            <v>1</v>
          </cell>
          <cell r="AD119">
            <v>21</v>
          </cell>
          <cell r="AE119">
            <v>24</v>
          </cell>
          <cell r="AF119"/>
          <cell r="AG119"/>
          <cell r="AH119"/>
          <cell r="AI119"/>
          <cell r="AJ119"/>
          <cell r="AK119"/>
          <cell r="AL119"/>
          <cell r="AM119"/>
          <cell r="AN119"/>
          <cell r="AO119"/>
          <cell r="AP119"/>
          <cell r="AQ119"/>
          <cell r="AR119"/>
          <cell r="AS119" t="str">
            <v>Yes</v>
          </cell>
          <cell r="AT119">
            <v>1</v>
          </cell>
          <cell r="AU119">
            <v>2451</v>
          </cell>
          <cell r="AV119"/>
          <cell r="AW119"/>
          <cell r="AX119"/>
          <cell r="AY119"/>
          <cell r="AZ119"/>
          <cell r="BA119"/>
          <cell r="BB119"/>
          <cell r="BC119"/>
          <cell r="BD119"/>
          <cell r="BE119"/>
          <cell r="BF119"/>
          <cell r="BG119"/>
          <cell r="BH119"/>
          <cell r="BI119"/>
          <cell r="BJ119"/>
          <cell r="BK119"/>
          <cell r="BL119"/>
          <cell r="BM119"/>
          <cell r="BN119"/>
          <cell r="BO119"/>
          <cell r="BP119"/>
          <cell r="BQ119"/>
          <cell r="BR119"/>
          <cell r="BS119"/>
          <cell r="BT119"/>
          <cell r="BU119"/>
          <cell r="BV119"/>
          <cell r="BW119" t="str">
            <v>Yes</v>
          </cell>
          <cell r="BX119">
            <v>0.99349999999999994</v>
          </cell>
          <cell r="BY119">
            <v>42003</v>
          </cell>
          <cell r="BZ119"/>
          <cell r="CA119">
            <v>2359</v>
          </cell>
          <cell r="CB119">
            <v>12035.25</v>
          </cell>
          <cell r="CC119">
            <v>54522</v>
          </cell>
          <cell r="CD119">
            <v>20131</v>
          </cell>
          <cell r="CE119">
            <v>7900</v>
          </cell>
          <cell r="CF119">
            <v>178</v>
          </cell>
          <cell r="CG119">
            <v>56101</v>
          </cell>
          <cell r="CH119">
            <v>55736</v>
          </cell>
          <cell r="CI119"/>
          <cell r="CJ119" t="str">
            <v>Yes</v>
          </cell>
          <cell r="CK119">
            <v>1</v>
          </cell>
          <cell r="CL119"/>
          <cell r="CM119"/>
          <cell r="CN119"/>
          <cell r="CO119">
            <v>126.91</v>
          </cell>
          <cell r="CP119">
            <v>364</v>
          </cell>
          <cell r="CQ119">
            <v>16</v>
          </cell>
          <cell r="CR119">
            <v>617</v>
          </cell>
          <cell r="CS119"/>
          <cell r="CT119">
            <v>754</v>
          </cell>
          <cell r="CU119">
            <v>754</v>
          </cell>
          <cell r="CV119" t="str">
            <v>Number of licensed beds does not apply</v>
          </cell>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v>7760257.2599999998</v>
          </cell>
          <cell r="EA119">
            <v>422699.3</v>
          </cell>
          <cell r="EB119"/>
          <cell r="EC119"/>
          <cell r="ED119">
            <v>27796.58</v>
          </cell>
          <cell r="EE119">
            <v>3610.18</v>
          </cell>
          <cell r="EF119">
            <v>1390798.98</v>
          </cell>
          <cell r="EG119" t="str">
            <v>Includes furniture, appliances, building maintenance, utilities, licenses, permits, vehicle maintenance</v>
          </cell>
          <cell r="EH119" t="str">
            <v>Wages for direct staff includes the wages for direct care supervisors. We are unable to differentiate supervisor hours vs. DSP hours. It is not currently feasible to determine which portion of the total funds paid and hours paid are attributable to specific billing codes. Approximately, 26.6 percent of the revenue is attributable to the other category. Expenses were entered on a pro rata basis using this estimate.</v>
          </cell>
          <cell r="EI119">
            <v>16907483</v>
          </cell>
          <cell r="EJ119">
            <v>12155647</v>
          </cell>
          <cell r="EK119">
            <v>2305902</v>
          </cell>
          <cell r="EL119">
            <v>508324</v>
          </cell>
          <cell r="EM119">
            <v>3327704.58</v>
          </cell>
          <cell r="EN119"/>
          <cell r="EO119"/>
          <cell r="EP119"/>
          <cell r="EQ119"/>
          <cell r="ER119"/>
          <cell r="ES119"/>
          <cell r="ET119"/>
          <cell r="EU119"/>
          <cell r="EV119"/>
          <cell r="EW119"/>
          <cell r="EX119"/>
          <cell r="EY119"/>
          <cell r="EZ119"/>
          <cell r="FA119"/>
          <cell r="FB119"/>
          <cell r="FC119"/>
          <cell r="FD119" t="str">
            <v>web-form@smartsheet.com</v>
          </cell>
          <cell r="FE119">
            <v>45719.690332523147</v>
          </cell>
          <cell r="FF119" t="str">
            <v>web-form@smartsheet.com</v>
          </cell>
          <cell r="FG119">
            <v>45719.690332523147</v>
          </cell>
        </row>
        <row r="120">
          <cell r="B120" t="str">
            <v>AUGUST SUN LLC</v>
          </cell>
          <cell r="C120">
            <v>5107116605</v>
          </cell>
          <cell r="D120" t="str">
            <v>Steve Bryner</v>
          </cell>
          <cell r="E120" t="str">
            <v>augustsunbills@gmail.com</v>
          </cell>
          <cell r="F120" t="str">
            <v>+1 (801) 386-1638</v>
          </cell>
          <cell r="G120" t="str">
            <v>H0043	Adult Residential Services – Certified Independent Living Facility; per diem
S5102	Adult Day Care (Adult Day Health) or Adult day health services; per diem</v>
          </cell>
          <cell r="I120"/>
          <cell r="M120"/>
          <cell r="P120" t="str">
            <v>Yes</v>
          </cell>
          <cell r="Q120">
            <v>1</v>
          </cell>
          <cell r="R120">
            <v>187231</v>
          </cell>
          <cell r="S120">
            <v>7000</v>
          </cell>
          <cell r="T120">
            <v>11641.5</v>
          </cell>
          <cell r="U120">
            <v>15729</v>
          </cell>
          <cell r="V120">
            <v>33483</v>
          </cell>
          <cell r="W120">
            <v>19678.46</v>
          </cell>
          <cell r="X120"/>
          <cell r="Y120">
            <v>24</v>
          </cell>
          <cell r="Z120">
            <v>365</v>
          </cell>
          <cell r="AA120">
            <v>365</v>
          </cell>
          <cell r="AB120"/>
          <cell r="AC120"/>
          <cell r="AD120"/>
          <cell r="AE120"/>
          <cell r="AF120" t="str">
            <v>Yes</v>
          </cell>
          <cell r="AG120">
            <v>1</v>
          </cell>
          <cell r="AH120">
            <v>194691</v>
          </cell>
          <cell r="AI120">
            <v>0.25</v>
          </cell>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cell r="BH120"/>
          <cell r="BI120"/>
          <cell r="BJ120"/>
          <cell r="BK120"/>
          <cell r="BL120"/>
          <cell r="BM120"/>
          <cell r="BN120"/>
          <cell r="BO120"/>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cell r="DG120"/>
          <cell r="DH120"/>
          <cell r="DI120"/>
          <cell r="DJ120"/>
          <cell r="DK120"/>
          <cell r="DL120"/>
          <cell r="DM120"/>
          <cell r="DN120"/>
          <cell r="DO120"/>
          <cell r="DP120"/>
          <cell r="DQ120"/>
          <cell r="DR120"/>
          <cell r="DS120"/>
          <cell r="DT120"/>
          <cell r="DU120"/>
          <cell r="DV120"/>
          <cell r="DW120"/>
          <cell r="DX120"/>
          <cell r="DY120"/>
          <cell r="DZ120">
            <v>838951.41</v>
          </cell>
          <cell r="EA120">
            <v>52109.62</v>
          </cell>
          <cell r="EB120">
            <v>949671</v>
          </cell>
          <cell r="EC120">
            <v>38768.400000000001</v>
          </cell>
          <cell r="ED120">
            <v>0</v>
          </cell>
          <cell r="EE120">
            <v>7737.03</v>
          </cell>
          <cell r="EF120">
            <v>16108.89</v>
          </cell>
          <cell r="EG120" t="str">
            <v>Training and Supplies</v>
          </cell>
          <cell r="EH120"/>
          <cell r="EI120">
            <v>2667107.58</v>
          </cell>
          <cell r="EJ120">
            <v>1788662.41</v>
          </cell>
          <cell r="EK120">
            <v>165329.13</v>
          </cell>
          <cell r="EL120">
            <v>2650998.69</v>
          </cell>
          <cell r="EM120"/>
          <cell r="EN120"/>
          <cell r="EO120"/>
          <cell r="EP120"/>
          <cell r="EQ120"/>
          <cell r="ER120"/>
          <cell r="ES120"/>
          <cell r="ET120"/>
          <cell r="EU120"/>
          <cell r="EV120"/>
          <cell r="EW120"/>
          <cell r="EX120"/>
          <cell r="EY120"/>
          <cell r="EZ120"/>
          <cell r="FA120"/>
          <cell r="FB120"/>
          <cell r="FC120"/>
          <cell r="FD120" t="str">
            <v>web-form@smartsheet.com</v>
          </cell>
          <cell r="FE120">
            <v>45719.703402314815</v>
          </cell>
          <cell r="FF120" t="str">
            <v>web-form@smartsheet.com</v>
          </cell>
          <cell r="FG120">
            <v>45719.703402314815</v>
          </cell>
        </row>
        <row r="121">
          <cell r="B121" t="str">
            <v>SAFE HARBOR INDIVIDUAL AND FAMILY CARE</v>
          </cell>
          <cell r="C121">
            <v>883697671</v>
          </cell>
          <cell r="D121" t="str">
            <v>Janessa Tuai</v>
          </cell>
          <cell r="E121" t="str">
            <v>Safeharborcare4@gmail.com</v>
          </cell>
          <cell r="F121" t="str">
            <v>+1 (940) 301-1376</v>
          </cell>
          <cell r="G121" t="str">
            <v>H0045	Respite Care – Overnight, Out of Home, Room &amp; Board included or Respite Care Services – LTC facility; per diem</v>
          </cell>
          <cell r="I121"/>
          <cell r="M121"/>
          <cell r="P121"/>
          <cell r="Q121"/>
          <cell r="R121"/>
          <cell r="S121"/>
          <cell r="T121"/>
          <cell r="U121"/>
          <cell r="V121"/>
          <cell r="W121"/>
          <cell r="X121"/>
          <cell r="Y121"/>
          <cell r="Z121"/>
          <cell r="AA121"/>
          <cell r="AB121" t="str">
            <v>Yes</v>
          </cell>
          <cell r="AC121">
            <v>0</v>
          </cell>
          <cell r="AD121">
            <v>48</v>
          </cell>
          <cell r="AE121">
            <v>12</v>
          </cell>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cell r="BE121"/>
          <cell r="BF121"/>
          <cell r="BG121"/>
          <cell r="BH121"/>
          <cell r="BI121"/>
          <cell r="BJ121"/>
          <cell r="BK121"/>
          <cell r="BL121"/>
          <cell r="BM121"/>
          <cell r="BN121"/>
          <cell r="BO121"/>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cell r="DG121"/>
          <cell r="DH121"/>
          <cell r="DI121"/>
          <cell r="DJ121"/>
          <cell r="DK121"/>
          <cell r="DL121"/>
          <cell r="DM121"/>
          <cell r="DN121"/>
          <cell r="DO121"/>
          <cell r="DP121"/>
          <cell r="DQ121"/>
          <cell r="DR121"/>
          <cell r="DS121"/>
          <cell r="DT121"/>
          <cell r="DU121"/>
          <cell r="DV121"/>
          <cell r="DW121"/>
          <cell r="DX121"/>
          <cell r="DY121"/>
          <cell r="DZ121">
            <v>264</v>
          </cell>
          <cell r="EA121">
            <v>24</v>
          </cell>
          <cell r="EB121">
            <v>120</v>
          </cell>
          <cell r="EC121">
            <v>24</v>
          </cell>
          <cell r="ED121"/>
          <cell r="EE121"/>
          <cell r="EF121"/>
          <cell r="EG121"/>
          <cell r="EH121"/>
          <cell r="EI121"/>
          <cell r="EJ121"/>
          <cell r="EK121"/>
          <cell r="EL121"/>
          <cell r="EM121"/>
          <cell r="EN121"/>
          <cell r="EO121"/>
          <cell r="EP121"/>
          <cell r="EQ121"/>
          <cell r="ER121"/>
          <cell r="ES121"/>
          <cell r="ET121"/>
          <cell r="EU121"/>
          <cell r="EV121"/>
          <cell r="EW121"/>
          <cell r="EX121"/>
          <cell r="EY121"/>
          <cell r="EZ121"/>
          <cell r="FA121"/>
          <cell r="FB121"/>
          <cell r="FC121"/>
          <cell r="FD121" t="str">
            <v>web-form@smartsheet.com</v>
          </cell>
          <cell r="FE121">
            <v>45719.712376087962</v>
          </cell>
          <cell r="FF121" t="str">
            <v>web-form@smartsheet.com</v>
          </cell>
          <cell r="FG121">
            <v>45719.712376087962</v>
          </cell>
        </row>
        <row r="122">
          <cell r="B122" t="str">
            <v>COMMUNITY OPTIONS</v>
          </cell>
          <cell r="C122">
            <v>1073109781</v>
          </cell>
          <cell r="D122" t="str">
            <v>Belgica Cedeno</v>
          </cell>
          <cell r="E122" t="str">
            <v>Belgica.cedeno@comop.org</v>
          </cell>
          <cell r="F122" t="str">
            <v>+1 (609) 951-9900</v>
          </cell>
          <cell r="G122" t="str">
            <v>H0038	Personal Budget Assistance; per 15 minutes
H0045	Respite Care – Overnight, Out of Home, Room &amp; Board included or Respite Care Services – LTC facility; per diem
Other services or operations not listed above
T2016	Adult Residential Services – (Licensed Assisted Living Facility, Memory Care Unit); per diem
T2017	Habilitation Services; per diem</v>
          </cell>
          <cell r="I122"/>
          <cell r="L122" t="str">
            <v>Yes</v>
          </cell>
          <cell r="M122">
            <v>1</v>
          </cell>
          <cell r="N122">
            <v>603</v>
          </cell>
          <cell r="P122"/>
          <cell r="Q122"/>
          <cell r="R122"/>
          <cell r="S122"/>
          <cell r="T122"/>
          <cell r="U122"/>
          <cell r="V122"/>
          <cell r="W122"/>
          <cell r="X122"/>
          <cell r="Y122"/>
          <cell r="Z122"/>
          <cell r="AA122"/>
          <cell r="AB122" t="str">
            <v>Yes</v>
          </cell>
          <cell r="AC122">
            <v>1</v>
          </cell>
          <cell r="AD122">
            <v>28</v>
          </cell>
          <cell r="AE122">
            <v>24</v>
          </cell>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t="str">
            <v>Yes</v>
          </cell>
          <cell r="BX122">
            <v>1</v>
          </cell>
          <cell r="BY122">
            <v>135277.25</v>
          </cell>
          <cell r="BZ122">
            <v>142196.35999999999</v>
          </cell>
          <cell r="CA122">
            <v>4473.7299999999996</v>
          </cell>
          <cell r="CB122">
            <v>4872.32</v>
          </cell>
          <cell r="CC122">
            <v>65138.43</v>
          </cell>
          <cell r="CD122">
            <v>31302.99</v>
          </cell>
          <cell r="CE122">
            <v>90433.72</v>
          </cell>
          <cell r="CF122">
            <v>35</v>
          </cell>
          <cell r="CG122">
            <v>12775</v>
          </cell>
          <cell r="CH122">
            <v>12775</v>
          </cell>
          <cell r="CI122"/>
          <cell r="CJ122" t="str">
            <v>Yes</v>
          </cell>
          <cell r="CK122">
            <v>1</v>
          </cell>
          <cell r="CL122">
            <v>0</v>
          </cell>
          <cell r="CM122">
            <v>0</v>
          </cell>
          <cell r="CN122">
            <v>0</v>
          </cell>
          <cell r="CO122">
            <v>0</v>
          </cell>
          <cell r="CP122">
            <v>0</v>
          </cell>
          <cell r="CQ122">
            <v>0</v>
          </cell>
          <cell r="CR122">
            <v>0</v>
          </cell>
          <cell r="CS122">
            <v>2</v>
          </cell>
          <cell r="CT122">
            <v>730</v>
          </cell>
          <cell r="CU122">
            <v>730</v>
          </cell>
          <cell r="CV122" t="str">
            <v>Supported living consumers live in their own homes</v>
          </cell>
          <cell r="CW122"/>
          <cell r="CX122"/>
          <cell r="CY122"/>
          <cell r="CZ122"/>
          <cell r="DA122"/>
          <cell r="DB122"/>
          <cell r="DC122"/>
          <cell r="DD122"/>
          <cell r="DE122"/>
          <cell r="DF122"/>
          <cell r="DG122"/>
          <cell r="DH122"/>
          <cell r="DI122"/>
          <cell r="DJ122"/>
          <cell r="DK122"/>
          <cell r="DL122"/>
          <cell r="DM122"/>
          <cell r="DN122"/>
          <cell r="DO122"/>
          <cell r="DP122"/>
          <cell r="DQ122"/>
          <cell r="DR122"/>
          <cell r="DS122"/>
          <cell r="DT122"/>
          <cell r="DU122"/>
          <cell r="DV122"/>
          <cell r="DW122"/>
          <cell r="DX122"/>
          <cell r="DY122"/>
          <cell r="DZ122">
            <v>1788484.79</v>
          </cell>
          <cell r="EA122">
            <v>96326.11</v>
          </cell>
          <cell r="EB122">
            <v>126125.33</v>
          </cell>
          <cell r="EC122">
            <v>4348.8599999999997</v>
          </cell>
          <cell r="ED122">
            <v>0</v>
          </cell>
          <cell r="EE122">
            <v>10281.700000000001</v>
          </cell>
          <cell r="EF122">
            <v>894149.22</v>
          </cell>
          <cell r="EG122" t="str">
            <v>•       Taxes and Fringe Benefits (For Direct Service Staff, Direct Care Supervisors 
        and other staff)
•	Occupancy           
•	Utilities
•	Vehicles related expenses
•	Supplies
•	Travel and Training
•	Specific Assistance to Clients
•	Food and Clothing
•	Real Estate Taxes</v>
          </cell>
          <cell r="EH122"/>
          <cell r="EI122">
            <v>4665358.71</v>
          </cell>
          <cell r="EJ122">
            <v>2755238.31</v>
          </cell>
          <cell r="EK122">
            <v>538911.05000000005</v>
          </cell>
          <cell r="EL122">
            <v>834225.36</v>
          </cell>
          <cell r="EM122">
            <v>1012092.31</v>
          </cell>
          <cell r="EN122"/>
          <cell r="EO122" t="str">
            <v>units are billed daily</v>
          </cell>
          <cell r="EP122"/>
          <cell r="EQ122"/>
          <cell r="ER122"/>
          <cell r="ES122"/>
          <cell r="ET122"/>
          <cell r="EU122"/>
          <cell r="EV122"/>
          <cell r="EW122"/>
          <cell r="EX122"/>
          <cell r="EY122"/>
          <cell r="EZ122"/>
          <cell r="FA122"/>
          <cell r="FB122"/>
          <cell r="FC122"/>
          <cell r="FD122" t="str">
            <v>web-form@smartsheet.com</v>
          </cell>
          <cell r="FE122">
            <v>45719.722525196761</v>
          </cell>
          <cell r="FF122" t="str">
            <v>web-form@smartsheet.com</v>
          </cell>
          <cell r="FG122">
            <v>45719.722525196761</v>
          </cell>
        </row>
        <row r="123">
          <cell r="B123" t="str">
            <v>HOMESTYLE DIRECT AW</v>
          </cell>
          <cell r="C123">
            <v>1235407420</v>
          </cell>
          <cell r="D123" t="str">
            <v>Lanie McCaffrey</v>
          </cell>
          <cell r="E123" t="str">
            <v>lanie.mccaffrey@homestyledirect.com</v>
          </cell>
          <cell r="F123" t="str">
            <v>+1 (866) 735-0921</v>
          </cell>
          <cell r="G123" t="str">
            <v>S5170	Home Delivered Meals or Supplemental Meals (Liquid and Solid)</v>
          </cell>
          <cell r="I123"/>
          <cell r="M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t="str">
            <v>Yes</v>
          </cell>
          <cell r="AW123">
            <v>1</v>
          </cell>
          <cell r="AX123">
            <v>41806</v>
          </cell>
          <cell r="AY123"/>
          <cell r="AZ123"/>
          <cell r="BA123"/>
          <cell r="BB123"/>
          <cell r="BC123"/>
          <cell r="BD123"/>
          <cell r="BE123"/>
          <cell r="BF123"/>
          <cell r="BG123"/>
          <cell r="BH123"/>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cell r="DG123"/>
          <cell r="DH123"/>
          <cell r="DI123"/>
          <cell r="DJ123"/>
          <cell r="DK123"/>
          <cell r="DL123"/>
          <cell r="DM123"/>
          <cell r="DN123"/>
          <cell r="DO123"/>
          <cell r="DP123"/>
          <cell r="DQ123"/>
          <cell r="DR123"/>
          <cell r="DS123"/>
          <cell r="DT123"/>
          <cell r="DU123"/>
          <cell r="DV123"/>
          <cell r="DW123"/>
          <cell r="DX123"/>
          <cell r="DY123"/>
          <cell r="DZ123">
            <v>2159072</v>
          </cell>
          <cell r="EA123">
            <v>106910</v>
          </cell>
          <cell r="EB123">
            <v>638795</v>
          </cell>
          <cell r="EC123">
            <v>16365</v>
          </cell>
          <cell r="ED123">
            <v>581190</v>
          </cell>
          <cell r="EE123">
            <v>0</v>
          </cell>
          <cell r="EF123">
            <v>28084544</v>
          </cell>
          <cell r="EG123" t="str">
            <v>All production and delivery-related direct expenses not specifically requested above. Includes raw materials costs (food ingredients, packaging, etc.); payroll taxes, employer-provided benefits, and other labor costs; facility-related costs for production and cold storage of meals; and transportation costs from our production facility in Twin Falls, ID, to recipients throughout Utah.</v>
          </cell>
          <cell r="EH123" t="str">
            <v>Our company serves meals across the United States from our location in Twin Falls, Idaho. The costs reflected above are for our total nationwide deliveries of approx. 7.7 million meals. The meals delivered in 2024 to the State of Utah, then, comprise approximately 0.55% of all meals delivered by Homestyle Direct. Costs directly related to Utah meals deliveries, then, would be based on an apportionment of approx. 0.55% of total costs.</v>
          </cell>
          <cell r="EI123">
            <v>17443957</v>
          </cell>
          <cell r="EJ123">
            <v>8619560</v>
          </cell>
          <cell r="EK123">
            <v>1572192</v>
          </cell>
          <cell r="EL123">
            <v>11520702</v>
          </cell>
          <cell r="EM123"/>
          <cell r="EN123"/>
          <cell r="EO123"/>
          <cell r="EP123"/>
          <cell r="EQ123"/>
          <cell r="ER123"/>
          <cell r="ES123"/>
          <cell r="ET123"/>
          <cell r="EU123"/>
          <cell r="EV123"/>
          <cell r="EW123"/>
          <cell r="EX123"/>
          <cell r="EY123"/>
          <cell r="EZ123"/>
          <cell r="FA123"/>
          <cell r="FB123"/>
          <cell r="FC123"/>
          <cell r="FD123" t="str">
            <v>web-form@smartsheet.com</v>
          </cell>
          <cell r="FE123">
            <v>45719.749202233797</v>
          </cell>
          <cell r="FF123" t="str">
            <v>web-form@smartsheet.com</v>
          </cell>
          <cell r="FG123">
            <v>45719.749202233797</v>
          </cell>
        </row>
        <row r="124">
          <cell r="B124" t="str">
            <v>FALEOFAZ LLC</v>
          </cell>
          <cell r="C124">
            <v>4262632</v>
          </cell>
          <cell r="D124" t="str">
            <v>Jose Fesili</v>
          </cell>
          <cell r="E124" t="str">
            <v>faleofaz@utfaleofaz.org</v>
          </cell>
          <cell r="F124" t="str">
            <v>+1 (801) 317-5454</v>
          </cell>
          <cell r="G124" t="str">
            <v>H0043	Adult Residential Services – Certified Independent Living Facility; per diem
S5130	Homemaker services; per 15 minutes
S5135	Companion care adult; per 15 minutes</v>
          </cell>
          <cell r="I124"/>
          <cell r="M124"/>
          <cell r="P124" t="str">
            <v>Yes</v>
          </cell>
          <cell r="Q124">
            <v>1</v>
          </cell>
          <cell r="R124">
            <v>1850</v>
          </cell>
          <cell r="S124">
            <v>0</v>
          </cell>
          <cell r="T124">
            <v>0</v>
          </cell>
          <cell r="U124">
            <v>0</v>
          </cell>
          <cell r="V124">
            <v>776.76</v>
          </cell>
          <cell r="W124">
            <v>400</v>
          </cell>
          <cell r="X124">
            <v>10800</v>
          </cell>
          <cell r="Y124">
            <v>3</v>
          </cell>
          <cell r="Z124"/>
          <cell r="AA124"/>
          <cell r="AB124"/>
          <cell r="AC124"/>
          <cell r="AD124"/>
          <cell r="AE124"/>
          <cell r="AF124"/>
          <cell r="AG124"/>
          <cell r="AH124"/>
          <cell r="AI124"/>
          <cell r="AJ124"/>
          <cell r="AK124"/>
          <cell r="AL124"/>
          <cell r="AM124" t="str">
            <v>Yes</v>
          </cell>
          <cell r="AN124">
            <v>1</v>
          </cell>
          <cell r="AO124"/>
          <cell r="AP124" t="str">
            <v>No</v>
          </cell>
          <cell r="AQ124"/>
          <cell r="AR124"/>
          <cell r="AS124"/>
          <cell r="AT124"/>
          <cell r="AU124"/>
          <cell r="AV124"/>
          <cell r="AW124"/>
          <cell r="AX124"/>
          <cell r="AY124"/>
          <cell r="AZ124"/>
          <cell r="BA124"/>
          <cell r="BB124"/>
          <cell r="BC124"/>
          <cell r="BD124"/>
          <cell r="BE124"/>
          <cell r="BF124"/>
          <cell r="BG124"/>
          <cell r="BH124"/>
          <cell r="BI124"/>
          <cell r="BJ124"/>
          <cell r="BK124"/>
          <cell r="BL124"/>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cell r="DG124"/>
          <cell r="DH124"/>
          <cell r="DI124"/>
          <cell r="DJ124"/>
          <cell r="DK124"/>
          <cell r="DL124"/>
          <cell r="DM124"/>
          <cell r="DN124"/>
          <cell r="DO124"/>
          <cell r="DP124"/>
          <cell r="DQ124"/>
          <cell r="DR124"/>
          <cell r="DS124"/>
          <cell r="DT124"/>
          <cell r="DU124"/>
          <cell r="DV124"/>
          <cell r="DW124"/>
          <cell r="DX124"/>
          <cell r="DY124"/>
          <cell r="DZ124">
            <v>125066.25</v>
          </cell>
          <cell r="EA124"/>
          <cell r="EB124">
            <v>82103</v>
          </cell>
          <cell r="EC124"/>
          <cell r="ED124"/>
          <cell r="EE124">
            <v>13926.62</v>
          </cell>
          <cell r="EF124"/>
          <cell r="EG124"/>
          <cell r="EH124"/>
          <cell r="EI124">
            <v>377437.54</v>
          </cell>
          <cell r="EJ124">
            <v>207169</v>
          </cell>
          <cell r="EK124">
            <v>0</v>
          </cell>
          <cell r="EL124">
            <v>114660.97</v>
          </cell>
          <cell r="EM124"/>
          <cell r="EN124"/>
          <cell r="EO124"/>
          <cell r="EP124"/>
          <cell r="EQ124"/>
          <cell r="ER124"/>
          <cell r="ES124"/>
          <cell r="ET124"/>
          <cell r="EU124"/>
          <cell r="EV124"/>
          <cell r="EW124"/>
          <cell r="EX124"/>
          <cell r="EY124"/>
          <cell r="EZ124"/>
          <cell r="FA124"/>
          <cell r="FB124"/>
          <cell r="FC124"/>
          <cell r="FD124" t="str">
            <v>web-form@smartsheet.com</v>
          </cell>
          <cell r="FE124">
            <v>45719.787263009261</v>
          </cell>
          <cell r="FF124" t="str">
            <v>web-form@smartsheet.com</v>
          </cell>
          <cell r="FG124">
            <v>45719.787263009261</v>
          </cell>
        </row>
        <row r="125">
          <cell r="B125" t="str">
            <v>LLOYD, WENDY</v>
          </cell>
          <cell r="C125">
            <v>1457564650</v>
          </cell>
          <cell r="D125" t="str">
            <v>Wendy Lloyd</v>
          </cell>
          <cell r="E125" t="str">
            <v>wmslloyd@yahoo.com</v>
          </cell>
          <cell r="F125" t="str">
            <v>+1 (801) 718-4964</v>
          </cell>
          <cell r="G125" t="str">
            <v>T1027	Family Training &amp; Counseling for child development; per 15 minutes</v>
          </cell>
          <cell r="I125"/>
          <cell r="M125"/>
          <cell r="P125"/>
          <cell r="Q125"/>
          <cell r="R125"/>
          <cell r="S125"/>
          <cell r="T125"/>
          <cell r="U125"/>
          <cell r="V125"/>
          <cell r="W125"/>
          <cell r="X125"/>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cell r="BH125"/>
          <cell r="BI125"/>
          <cell r="BJ125"/>
          <cell r="BK125"/>
          <cell r="BL125"/>
          <cell r="BM125"/>
          <cell r="BN125"/>
          <cell r="BO125" t="str">
            <v>Yes</v>
          </cell>
          <cell r="BP125">
            <v>1</v>
          </cell>
          <cell r="BQ125">
            <v>3240</v>
          </cell>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cell r="DG125"/>
          <cell r="DH125"/>
          <cell r="DI125"/>
          <cell r="DJ125"/>
          <cell r="DK125"/>
          <cell r="DL125"/>
          <cell r="DM125"/>
          <cell r="DN125"/>
          <cell r="DO125"/>
          <cell r="DP125"/>
          <cell r="DQ125"/>
          <cell r="DR125"/>
          <cell r="DS125"/>
          <cell r="DT125"/>
          <cell r="DU125"/>
          <cell r="DV125"/>
          <cell r="DW125"/>
          <cell r="DX125"/>
          <cell r="DY125"/>
          <cell r="DZ125">
            <v>56520.55</v>
          </cell>
          <cell r="EA125">
            <v>810</v>
          </cell>
          <cell r="EB125"/>
          <cell r="EC125"/>
          <cell r="ED125"/>
          <cell r="EE125"/>
          <cell r="EF125">
            <v>9000</v>
          </cell>
          <cell r="EG125" t="str">
            <v>Office essentials, electronic record services, licensures, Office expenditures', Trainings, Car maintenance, Gas, billing service, liability insurance, NASW expenses, electronic device services</v>
          </cell>
          <cell r="EH125" t="str">
            <v>I am self-employed and sole proprietor. I am the only employee of my agency. I pay self-employment taxes. The information I am giving reflects my 2023 taxes as I have not yet completed my 2024 taxes. The amount $56,520.55 reflects the total reimbursement for face to face only. This does not include the hours of advocacy, phone calls, administrative, drive time etc. that is not reimbursable Many of the questions above are not applicable to me. Self-employment tax 3400.00.  FYI ...Reimbursement for the services rendered has not changed since contracting with Medicaid beginning in 2007.
.</v>
          </cell>
          <cell r="EI125">
            <v>68920.55</v>
          </cell>
          <cell r="EJ125">
            <v>56520.55</v>
          </cell>
          <cell r="EK125">
            <v>3400</v>
          </cell>
          <cell r="EL125">
            <v>9000</v>
          </cell>
          <cell r="EM125"/>
          <cell r="EN125"/>
          <cell r="EO125"/>
          <cell r="EP125"/>
          <cell r="EQ125"/>
          <cell r="ER125"/>
          <cell r="ES125"/>
          <cell r="ET125"/>
          <cell r="EU125"/>
          <cell r="EV125"/>
          <cell r="EW125"/>
          <cell r="EX125"/>
          <cell r="EY125"/>
          <cell r="EZ125"/>
          <cell r="FA125"/>
          <cell r="FB125"/>
          <cell r="FC125"/>
          <cell r="FD125" t="str">
            <v>web-form@smartsheet.com</v>
          </cell>
          <cell r="FE125">
            <v>45719.882230092589</v>
          </cell>
          <cell r="FF125" t="str">
            <v>web-form@smartsheet.com</v>
          </cell>
          <cell r="FG125">
            <v>45719.882230092589</v>
          </cell>
        </row>
        <row r="126">
          <cell r="B126" t="str">
            <v>DOTS CARE</v>
          </cell>
          <cell r="C126">
            <v>100209</v>
          </cell>
          <cell r="D126" t="str">
            <v>Michelle Taylor</v>
          </cell>
          <cell r="E126" t="str">
            <v>Dotscarellc@gmail.com</v>
          </cell>
          <cell r="F126" t="str">
            <v>+1 (585) 857-1644</v>
          </cell>
          <cell r="G126" t="str">
            <v>H0043	Adult Residential Services – Certified Independent Living Facility; per diem
Other services or operations not listed above</v>
          </cell>
          <cell r="I126"/>
          <cell r="M126"/>
          <cell r="P126" t="str">
            <v>Yes</v>
          </cell>
          <cell r="Q126">
            <v>1</v>
          </cell>
          <cell r="R126">
            <v>10692</v>
          </cell>
          <cell r="S126"/>
          <cell r="T126"/>
          <cell r="U126">
            <v>1000</v>
          </cell>
          <cell r="V126">
            <v>960</v>
          </cell>
          <cell r="W126"/>
          <cell r="X126">
            <v>2200</v>
          </cell>
          <cell r="Y126"/>
          <cell r="Z126">
            <v>325</v>
          </cell>
          <cell r="AA126">
            <v>325</v>
          </cell>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cell r="BE126"/>
          <cell r="BF126"/>
          <cell r="BG126"/>
          <cell r="BH126"/>
          <cell r="BI126"/>
          <cell r="BJ126"/>
          <cell r="BK126"/>
          <cell r="BL126"/>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cell r="DG126"/>
          <cell r="DH126"/>
          <cell r="DI126"/>
          <cell r="DJ126"/>
          <cell r="DK126"/>
          <cell r="DL126"/>
          <cell r="DM126"/>
          <cell r="DN126"/>
          <cell r="DO126"/>
          <cell r="DP126"/>
          <cell r="DQ126"/>
          <cell r="DR126"/>
          <cell r="DS126"/>
          <cell r="DT126"/>
          <cell r="DU126"/>
          <cell r="DV126"/>
          <cell r="DW126"/>
          <cell r="DX126"/>
          <cell r="DY126"/>
          <cell r="DZ126">
            <v>22390.29</v>
          </cell>
          <cell r="EA126">
            <v>1279</v>
          </cell>
          <cell r="EB126"/>
          <cell r="EC126"/>
          <cell r="ED126"/>
          <cell r="EE126"/>
          <cell r="EF126">
            <v>3400</v>
          </cell>
          <cell r="EG126" t="str">
            <v>Training and supplies for the home to cover employee usage.</v>
          </cell>
          <cell r="EH126" t="str">
            <v>Dot's Care has one paid direct care employee, as the owner I also participate in direct care since we have one individual we service. Majority of the hours worked are covered by myself.</v>
          </cell>
          <cell r="EI126">
            <v>16616</v>
          </cell>
          <cell r="EJ126">
            <v>22390.29</v>
          </cell>
          <cell r="EK126"/>
          <cell r="EL126"/>
          <cell r="EM126"/>
          <cell r="EN126" t="str">
            <v>Dot's Care rents a condo while our client pays her share for her room, we do not have other rooms filled at this time so the rest of the space is covered by the business. Client pays a third of utilities expenses while we cover the rest.</v>
          </cell>
          <cell r="EO126"/>
          <cell r="EP126"/>
          <cell r="EQ126"/>
          <cell r="ER126"/>
          <cell r="ES126"/>
          <cell r="ET126"/>
          <cell r="EU126"/>
          <cell r="EV126"/>
          <cell r="EW126"/>
          <cell r="EX126"/>
          <cell r="EY126"/>
          <cell r="EZ126"/>
          <cell r="FA126"/>
          <cell r="FB126"/>
          <cell r="FC126"/>
          <cell r="FD126" t="str">
            <v>web-form@smartsheet.com</v>
          </cell>
          <cell r="FE126">
            <v>45719.941064953702</v>
          </cell>
          <cell r="FF126" t="str">
            <v>web-form@smartsheet.com</v>
          </cell>
          <cell r="FG126">
            <v>45719.941064953702</v>
          </cell>
        </row>
        <row r="127">
          <cell r="B127" t="str">
            <v>HAVEN VIEW</v>
          </cell>
          <cell r="C127">
            <v>931746341</v>
          </cell>
          <cell r="D127" t="str">
            <v>Nathan Coles</v>
          </cell>
          <cell r="E127" t="str">
            <v>info@havenviewservices.com</v>
          </cell>
          <cell r="F127" t="str">
            <v>+1 (801) 867-9593</v>
          </cell>
          <cell r="G127" t="str">
            <v>H0043	Adult Residential Services – Certified Independent Living Facility; per diem</v>
          </cell>
          <cell r="I127"/>
          <cell r="M127"/>
          <cell r="P127" t="str">
            <v>Yes</v>
          </cell>
          <cell r="Q127">
            <v>1</v>
          </cell>
          <cell r="R127">
            <v>650</v>
          </cell>
          <cell r="S127">
            <v>650</v>
          </cell>
          <cell r="T127">
            <v>0</v>
          </cell>
          <cell r="U127">
            <v>30</v>
          </cell>
          <cell r="V127">
            <v>200</v>
          </cell>
          <cell r="W127">
            <v>0</v>
          </cell>
          <cell r="X127">
            <v>0</v>
          </cell>
          <cell r="Y127">
            <v>3</v>
          </cell>
          <cell r="Z127">
            <v>30</v>
          </cell>
          <cell r="AA127">
            <v>30</v>
          </cell>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cell r="BE127"/>
          <cell r="BF127"/>
          <cell r="BG127"/>
          <cell r="BH127"/>
          <cell r="BI127"/>
          <cell r="BJ127"/>
          <cell r="BK127"/>
          <cell r="BL127"/>
          <cell r="BM127"/>
          <cell r="BN127"/>
          <cell r="BO127"/>
          <cell r="BP127"/>
          <cell r="BQ127"/>
          <cell r="BR127"/>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cell r="DG127"/>
          <cell r="DH127"/>
          <cell r="DI127"/>
          <cell r="DJ127"/>
          <cell r="DK127"/>
          <cell r="DL127"/>
          <cell r="DM127"/>
          <cell r="DN127"/>
          <cell r="DO127"/>
          <cell r="DP127"/>
          <cell r="DQ127"/>
          <cell r="DR127"/>
          <cell r="DS127"/>
          <cell r="DT127"/>
          <cell r="DU127"/>
          <cell r="DV127"/>
          <cell r="DW127"/>
          <cell r="DX127"/>
          <cell r="DY127"/>
          <cell r="DZ127">
            <v>1950</v>
          </cell>
          <cell r="EA127">
            <v>95</v>
          </cell>
          <cell r="EB127">
            <v>0</v>
          </cell>
          <cell r="EC127">
            <v>0</v>
          </cell>
          <cell r="ED127">
            <v>0</v>
          </cell>
          <cell r="EE127">
            <v>0</v>
          </cell>
          <cell r="EF127">
            <v>150</v>
          </cell>
          <cell r="EG127" t="str">
            <v>CPR renewals, Crisis Prevention trainings/renewals</v>
          </cell>
          <cell r="EH127" t="str">
            <v>We've been open since 6/01/2024, a month before the fiscal year end.</v>
          </cell>
          <cell r="EI127">
            <v>12800</v>
          </cell>
          <cell r="EJ127">
            <v>1950</v>
          </cell>
          <cell r="EK127">
            <v>154</v>
          </cell>
          <cell r="EL127">
            <v>1950</v>
          </cell>
          <cell r="EM127"/>
          <cell r="EN127" t="str">
            <v>We've been open since 6/01/2024, a month before the fiscal year end.</v>
          </cell>
          <cell r="EO127"/>
          <cell r="EP127"/>
          <cell r="EQ127"/>
          <cell r="ER127"/>
          <cell r="ES127"/>
          <cell r="ET127"/>
          <cell r="EU127"/>
          <cell r="EV127"/>
          <cell r="EW127"/>
          <cell r="EX127"/>
          <cell r="EY127"/>
          <cell r="EZ127"/>
          <cell r="FA127"/>
          <cell r="FB127"/>
          <cell r="FC127"/>
          <cell r="FD127" t="str">
            <v>web-form@smartsheet.com</v>
          </cell>
          <cell r="FE127">
            <v>45719.941193090279</v>
          </cell>
          <cell r="FF127" t="str">
            <v>web-form@smartsheet.com</v>
          </cell>
          <cell r="FG127">
            <v>45719.941193090279</v>
          </cell>
        </row>
        <row r="128">
          <cell r="B128" t="str">
            <v>LIFE SOLUTIONS MANAGEMENT</v>
          </cell>
          <cell r="C128">
            <v>1881096717</v>
          </cell>
          <cell r="D128" t="str">
            <v>Valerie Maughan</v>
          </cell>
          <cell r="E128" t="str">
            <v>lvallette@msn.com</v>
          </cell>
          <cell r="F128" t="str">
            <v>+1 (801) 458-4625</v>
          </cell>
          <cell r="G128" t="str">
            <v>H0038	Personal Budget Assistance; per 15 minutes
T2016	Adult Residential Services – (Licensed Assisted Living Facility, Memory Care Unit); per diem
T2017	Habilitation Services; per diem</v>
          </cell>
          <cell r="I128"/>
          <cell r="L128" t="str">
            <v>Yes</v>
          </cell>
          <cell r="M128">
            <v>1</v>
          </cell>
          <cell r="N128">
            <v>96</v>
          </cell>
          <cell r="O128" t="str">
            <v>4 clients, 2 units a month, 12 months</v>
          </cell>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cell r="BE128"/>
          <cell r="BF128"/>
          <cell r="BG128"/>
          <cell r="BH128"/>
          <cell r="BI128"/>
          <cell r="BJ128"/>
          <cell r="BK128"/>
          <cell r="BL128"/>
          <cell r="BM128"/>
          <cell r="BN128"/>
          <cell r="BO128"/>
          <cell r="BP128"/>
          <cell r="BQ128"/>
          <cell r="BR128"/>
          <cell r="BS128"/>
          <cell r="BT128"/>
          <cell r="BU128"/>
          <cell r="BV128"/>
          <cell r="BW128" t="str">
            <v>Yes</v>
          </cell>
          <cell r="BX128">
            <v>1</v>
          </cell>
          <cell r="BY128"/>
          <cell r="BZ128"/>
          <cell r="CA128"/>
          <cell r="CB128"/>
          <cell r="CC128"/>
          <cell r="CD128"/>
          <cell r="CE128"/>
          <cell r="CF128">
            <v>6</v>
          </cell>
          <cell r="CG128">
            <v>1825</v>
          </cell>
          <cell r="CH128">
            <v>1811</v>
          </cell>
          <cell r="CI128" t="str">
            <v>We have 6 licensed beds, but only 5 clients at the moment.</v>
          </cell>
          <cell r="CJ128" t="str">
            <v>Yes</v>
          </cell>
          <cell r="CK128">
            <v>1</v>
          </cell>
          <cell r="CL128"/>
          <cell r="CM128"/>
          <cell r="CN128"/>
          <cell r="CO128"/>
          <cell r="CP128"/>
          <cell r="CQ128"/>
          <cell r="CR128"/>
          <cell r="CS128">
            <v>0</v>
          </cell>
          <cell r="CT128">
            <v>8972</v>
          </cell>
          <cell r="CU128">
            <v>8972</v>
          </cell>
          <cell r="CW128"/>
          <cell r="CX128"/>
          <cell r="CY128"/>
          <cell r="CZ128"/>
          <cell r="DA128"/>
          <cell r="DB128"/>
          <cell r="DC128"/>
          <cell r="DD128"/>
          <cell r="DE128"/>
          <cell r="DF128"/>
          <cell r="DG128"/>
          <cell r="DH128"/>
          <cell r="DI128"/>
          <cell r="DJ128"/>
          <cell r="DK128"/>
          <cell r="DL128"/>
          <cell r="DM128"/>
          <cell r="DN128"/>
          <cell r="DO128"/>
          <cell r="DP128"/>
          <cell r="DQ128"/>
          <cell r="DR128"/>
          <cell r="DS128"/>
          <cell r="DT128"/>
          <cell r="DU128"/>
          <cell r="DV128"/>
          <cell r="DW128"/>
          <cell r="DX128"/>
          <cell r="DY128"/>
          <cell r="DZ128">
            <v>219099.11</v>
          </cell>
          <cell r="EA128">
            <v>17260.400000000001</v>
          </cell>
          <cell r="EB128">
            <v>66656.63</v>
          </cell>
          <cell r="EC128">
            <v>4351</v>
          </cell>
          <cell r="ED128"/>
          <cell r="EE128">
            <v>6962.71</v>
          </cell>
          <cell r="EF128">
            <v>1938.77</v>
          </cell>
          <cell r="EG128" t="str">
            <v>Wages while training, CPR certification costs, training supplies (print outs, pens, such).</v>
          </cell>
          <cell r="EH128" t="str">
            <v>We have SLN SLH codes as well, however, there isn't a place to explain that in other, as I can only enter numbers, and the SLN SLH wages are accounted for here.</v>
          </cell>
          <cell r="EI128">
            <v>653242.12</v>
          </cell>
          <cell r="EJ128">
            <v>285755.74</v>
          </cell>
          <cell r="EK128">
            <v>0</v>
          </cell>
          <cell r="EL128">
            <v>102310.26</v>
          </cell>
          <cell r="EM128"/>
          <cell r="EN128"/>
          <cell r="EO128"/>
          <cell r="EP128"/>
          <cell r="EQ128"/>
          <cell r="ER128"/>
          <cell r="ES128"/>
          <cell r="ET128"/>
          <cell r="EU128"/>
          <cell r="EV128"/>
          <cell r="EW128"/>
          <cell r="EX128"/>
          <cell r="EY128"/>
          <cell r="EZ128"/>
          <cell r="FA128"/>
          <cell r="FB128"/>
          <cell r="FC128"/>
          <cell r="FD128" t="str">
            <v>web-form@smartsheet.com</v>
          </cell>
          <cell r="FE128">
            <v>45720.613696388886</v>
          </cell>
          <cell r="FF128" t="str">
            <v>web-form@smartsheet.com</v>
          </cell>
          <cell r="FG128">
            <v>45720.613696388886</v>
          </cell>
        </row>
        <row r="129">
          <cell r="B129" t="str">
            <v>QUALITY SUPPORT SOLUTIONS</v>
          </cell>
          <cell r="C129">
            <v>1699869263</v>
          </cell>
          <cell r="D129" t="str">
            <v>Mark Lance</v>
          </cell>
          <cell r="E129" t="str">
            <v>qssorg@gmail.ocm</v>
          </cell>
          <cell r="F129" t="str">
            <v>+1 (385) 259-3176</v>
          </cell>
          <cell r="G129" t="str">
            <v>T2017	Habilitation Services; per diem</v>
          </cell>
          <cell r="I129"/>
          <cell r="M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cell r="BE129"/>
          <cell r="BF129"/>
          <cell r="BG129"/>
          <cell r="BH129"/>
          <cell r="BI129"/>
          <cell r="BJ129"/>
          <cell r="BK129"/>
          <cell r="BL129"/>
          <cell r="BM129"/>
          <cell r="BN129"/>
          <cell r="BO129"/>
          <cell r="BP129"/>
          <cell r="BQ129"/>
          <cell r="BR129"/>
          <cell r="BS129"/>
          <cell r="BT129"/>
          <cell r="BU129"/>
          <cell r="BV129"/>
          <cell r="BW129"/>
          <cell r="BX129"/>
          <cell r="BY129"/>
          <cell r="BZ129"/>
          <cell r="CA129"/>
          <cell r="CB129"/>
          <cell r="CC129"/>
          <cell r="CD129"/>
          <cell r="CE129"/>
          <cell r="CF129"/>
          <cell r="CG129"/>
          <cell r="CH129"/>
          <cell r="CI129"/>
          <cell r="CJ129" t="str">
            <v>Yes</v>
          </cell>
          <cell r="CK129">
            <v>1</v>
          </cell>
          <cell r="CL129"/>
          <cell r="CM129"/>
          <cell r="CN129"/>
          <cell r="CO129"/>
          <cell r="CP129"/>
          <cell r="CQ129"/>
          <cell r="CR129"/>
          <cell r="CS129">
            <v>0</v>
          </cell>
          <cell r="CT129">
            <v>1957</v>
          </cell>
          <cell r="CU129">
            <v>1957</v>
          </cell>
          <cell r="CV129" t="str">
            <v>We provide SLH, SLN, and SEI services.  The actual code is T2017U6 (SLH)
T2017U5EY (SLN)</v>
          </cell>
          <cell r="CW129"/>
          <cell r="CX129"/>
          <cell r="CY129"/>
          <cell r="CZ129"/>
          <cell r="DA129"/>
          <cell r="DB129"/>
          <cell r="DC129"/>
          <cell r="DD129"/>
          <cell r="DE129"/>
          <cell r="DF129"/>
          <cell r="DG129"/>
          <cell r="DH129"/>
          <cell r="DI129"/>
          <cell r="DJ129"/>
          <cell r="DK129"/>
          <cell r="DL129"/>
          <cell r="DM129"/>
          <cell r="DN129"/>
          <cell r="DO129"/>
          <cell r="DP129"/>
          <cell r="DQ129"/>
          <cell r="DR129"/>
          <cell r="DS129"/>
          <cell r="DT129"/>
          <cell r="DU129"/>
          <cell r="DV129"/>
          <cell r="DW129"/>
          <cell r="DX129"/>
          <cell r="DY129"/>
          <cell r="DZ129">
            <v>280441.88</v>
          </cell>
          <cell r="EA129">
            <v>14013.11</v>
          </cell>
          <cell r="EB129">
            <v>79525.42</v>
          </cell>
          <cell r="EC129">
            <v>2079.96</v>
          </cell>
          <cell r="ED129">
            <v>0</v>
          </cell>
          <cell r="EE129">
            <v>11280</v>
          </cell>
          <cell r="EF129">
            <v>40382.239999999998</v>
          </cell>
          <cell r="EG129" t="str">
            <v>Client Needs - Help with groceries, clothing, furniture for apartments.
Client/Staff - Monthly Activities
Client/Staff -Meetings
Transportation -fuel, maintenance,  repairs</v>
          </cell>
          <cell r="EH129"/>
          <cell r="EI129">
            <v>463660.5</v>
          </cell>
          <cell r="EJ129">
            <v>337827.24</v>
          </cell>
          <cell r="EK129">
            <v>39892.92</v>
          </cell>
          <cell r="EL129">
            <v>28808.59</v>
          </cell>
          <cell r="EM129"/>
          <cell r="EN129"/>
          <cell r="EO129"/>
          <cell r="EP129"/>
          <cell r="EQ129"/>
          <cell r="ER129"/>
          <cell r="ES129"/>
          <cell r="ET129"/>
          <cell r="EU129"/>
          <cell r="EV129"/>
          <cell r="EW129"/>
          <cell r="EX129"/>
          <cell r="EY129"/>
          <cell r="EZ129"/>
          <cell r="FA129"/>
          <cell r="FB129"/>
          <cell r="FC129"/>
          <cell r="FD129" t="str">
            <v>web-form@smartsheet.com</v>
          </cell>
          <cell r="FE129">
            <v>45722.889287986109</v>
          </cell>
          <cell r="FF129" t="str">
            <v>web-form@smartsheet.com</v>
          </cell>
          <cell r="FG129">
            <v>45722.889287986109</v>
          </cell>
        </row>
        <row r="130">
          <cell r="B130" t="str">
            <v>TRAINING IN LIFE CHOICES, LLC</v>
          </cell>
          <cell r="C130">
            <v>510649643</v>
          </cell>
          <cell r="D130" t="str">
            <v>Kelli Clawson</v>
          </cell>
          <cell r="E130" t="str">
            <v>lexi@traininginlifechoices.org</v>
          </cell>
          <cell r="F130" t="str">
            <v>+1 (801) 721-5830</v>
          </cell>
          <cell r="G130" t="str">
            <v>H0038	Personal Budget Assistance; per 15 minutes
S5102	Adult Day Care (Adult Day Health) or Adult day health services; per diem
S5125	Attendant Care Services or Personal attendant service, participant employed; per 15 minutes
T2033	Adult Residential Services – (Licensed Community Residential Care); per diem</v>
          </cell>
          <cell r="I130"/>
          <cell r="L130" t="str">
            <v>No</v>
          </cell>
          <cell r="M130">
            <v>1</v>
          </cell>
          <cell r="N130">
            <v>177511.6</v>
          </cell>
          <cell r="P130"/>
          <cell r="Q130"/>
          <cell r="R130"/>
          <cell r="S130"/>
          <cell r="T130"/>
          <cell r="U130"/>
          <cell r="V130"/>
          <cell r="W130"/>
          <cell r="X130"/>
          <cell r="Y130"/>
          <cell r="Z130"/>
          <cell r="AA130"/>
          <cell r="AB130"/>
          <cell r="AC130"/>
          <cell r="AD130"/>
          <cell r="AE130"/>
          <cell r="AF130" t="str">
            <v>No</v>
          </cell>
          <cell r="AG130">
            <v>1</v>
          </cell>
          <cell r="AH130">
            <v>29805.360000000001</v>
          </cell>
          <cell r="AI130">
            <v>6</v>
          </cell>
          <cell r="AJ130" t="str">
            <v>No</v>
          </cell>
          <cell r="AK130">
            <v>1</v>
          </cell>
          <cell r="AL130">
            <v>7176.61</v>
          </cell>
          <cell r="AM130"/>
          <cell r="AN130"/>
          <cell r="AO130"/>
          <cell r="AP130"/>
          <cell r="AQ130"/>
          <cell r="AR130"/>
          <cell r="AS130"/>
          <cell r="AT130"/>
          <cell r="AU130"/>
          <cell r="AV130"/>
          <cell r="AW130"/>
          <cell r="AX130"/>
          <cell r="AY130"/>
          <cell r="AZ130"/>
          <cell r="BA130"/>
          <cell r="BB130"/>
          <cell r="BC130"/>
          <cell r="BD130"/>
          <cell r="BE130"/>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cell r="DG130"/>
          <cell r="DH130"/>
          <cell r="DI130"/>
          <cell r="DJ130" t="str">
            <v>No</v>
          </cell>
          <cell r="DK130">
            <v>1</v>
          </cell>
          <cell r="DL130">
            <v>16500</v>
          </cell>
          <cell r="DM130">
            <v>0</v>
          </cell>
          <cell r="DN130">
            <v>0</v>
          </cell>
          <cell r="DO130">
            <v>0</v>
          </cell>
          <cell r="DP130">
            <v>3600</v>
          </cell>
          <cell r="DQ130">
            <v>0</v>
          </cell>
          <cell r="DR130">
            <v>5000</v>
          </cell>
          <cell r="DS130">
            <v>0</v>
          </cell>
          <cell r="DT130"/>
          <cell r="DU130"/>
          <cell r="DV130"/>
          <cell r="DW130"/>
          <cell r="DX130"/>
          <cell r="DY130"/>
          <cell r="DZ130">
            <v>744250.77</v>
          </cell>
          <cell r="EA130">
            <v>34522.9</v>
          </cell>
          <cell r="EB130">
            <v>240000</v>
          </cell>
          <cell r="EC130">
            <v>2080</v>
          </cell>
          <cell r="ED130">
            <v>0</v>
          </cell>
          <cell r="EE130">
            <v>5125.6400000000003</v>
          </cell>
          <cell r="EF130">
            <v>85000</v>
          </cell>
          <cell r="EG130" t="str">
            <v>building expenses, licensing, vehicle maintenance, gas, utilities, training, office expenses</v>
          </cell>
          <cell r="EH130"/>
          <cell r="EI130">
            <v>1026468.6</v>
          </cell>
          <cell r="EJ130">
            <v>855879.5</v>
          </cell>
          <cell r="EK130">
            <v>44082.65</v>
          </cell>
          <cell r="EL130">
            <v>283960</v>
          </cell>
          <cell r="EM130"/>
          <cell r="EN130"/>
          <cell r="EO130"/>
          <cell r="EP130"/>
          <cell r="EQ130"/>
          <cell r="ER130"/>
          <cell r="ES130"/>
          <cell r="ET130"/>
          <cell r="EU130"/>
          <cell r="EV130"/>
          <cell r="EW130"/>
          <cell r="EX130"/>
          <cell r="EY130"/>
          <cell r="EZ130"/>
          <cell r="FA130"/>
          <cell r="FB130"/>
          <cell r="FC130"/>
          <cell r="FD130" t="str">
            <v>web-form@smartsheet.com</v>
          </cell>
          <cell r="FE130">
            <v>45723.487290960649</v>
          </cell>
          <cell r="FF130" t="str">
            <v>web-form@smartsheet.com</v>
          </cell>
          <cell r="FG130">
            <v>45723.487290960649</v>
          </cell>
        </row>
        <row r="131">
          <cell r="B131" t="str">
            <v>PINEVIEW ASSISTED LIVING OF EDEN</v>
          </cell>
          <cell r="C131">
            <v>4005063</v>
          </cell>
          <cell r="D131" t="str">
            <v>Evangeline Boden</v>
          </cell>
          <cell r="E131" t="str">
            <v>PineviewAssisted@gmail.com</v>
          </cell>
          <cell r="F131" t="str">
            <v>+1 (801) 745-6667</v>
          </cell>
          <cell r="G131" t="str">
            <v>T2031	Adult Residential Services (Assisted Living Facilities Level I, Level II, &amp; Type N Facilities); per diem</v>
          </cell>
          <cell r="I131"/>
          <cell r="M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cell r="BE131"/>
          <cell r="BF131"/>
          <cell r="BG131"/>
          <cell r="BH131"/>
          <cell r="BI131"/>
          <cell r="BJ131"/>
          <cell r="BK131"/>
          <cell r="BL131"/>
          <cell r="BM131"/>
          <cell r="BN131"/>
          <cell r="BO131"/>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t="str">
            <v>Yes</v>
          </cell>
          <cell r="CX131">
            <v>0.95</v>
          </cell>
          <cell r="CY131"/>
          <cell r="CZ131">
            <v>159696</v>
          </cell>
          <cell r="DA131">
            <v>19744</v>
          </cell>
          <cell r="DB131">
            <v>16150</v>
          </cell>
          <cell r="DC131">
            <v>47498</v>
          </cell>
          <cell r="DD131">
            <v>7600</v>
          </cell>
          <cell r="DE131">
            <v>68820</v>
          </cell>
          <cell r="DF131">
            <v>36</v>
          </cell>
          <cell r="DG131">
            <v>2974</v>
          </cell>
          <cell r="DH131">
            <v>2824</v>
          </cell>
          <cell r="DI131"/>
          <cell r="DJ131"/>
          <cell r="DK131"/>
          <cell r="DL131"/>
          <cell r="DM131"/>
          <cell r="DN131"/>
          <cell r="DO131"/>
          <cell r="DP131"/>
          <cell r="DQ131"/>
          <cell r="DR131"/>
          <cell r="DS131"/>
          <cell r="DT131"/>
          <cell r="DU131"/>
          <cell r="DV131"/>
          <cell r="DW131"/>
          <cell r="DX131"/>
          <cell r="DY131"/>
          <cell r="DZ131">
            <v>246331</v>
          </cell>
          <cell r="EA131">
            <v>70734</v>
          </cell>
          <cell r="EB131">
            <v>6000</v>
          </cell>
          <cell r="EC131">
            <v>150</v>
          </cell>
          <cell r="ED131">
            <v>11421</v>
          </cell>
          <cell r="EE131"/>
          <cell r="EF131"/>
          <cell r="EG131"/>
          <cell r="EH131"/>
          <cell r="EI131">
            <v>573262</v>
          </cell>
          <cell r="EJ131">
            <v>246331</v>
          </cell>
          <cell r="EK131">
            <v>19127</v>
          </cell>
          <cell r="EL131">
            <v>11959</v>
          </cell>
          <cell r="EM131"/>
          <cell r="EN131"/>
          <cell r="EO131"/>
          <cell r="EP131"/>
          <cell r="EQ131"/>
          <cell r="ER131"/>
          <cell r="ES131"/>
          <cell r="ET131"/>
          <cell r="EU131"/>
          <cell r="EV131"/>
          <cell r="EW131"/>
          <cell r="EX131"/>
          <cell r="EY131"/>
          <cell r="EZ131"/>
          <cell r="FA131"/>
          <cell r="FB131"/>
          <cell r="FC131"/>
          <cell r="FD131" t="str">
            <v>web-form@smartsheet.com</v>
          </cell>
          <cell r="FE131">
            <v>45723.606479618058</v>
          </cell>
          <cell r="FF131" t="str">
            <v>web-form@smartsheet.com</v>
          </cell>
          <cell r="FG131">
            <v>45723.606479618058</v>
          </cell>
        </row>
        <row r="132">
          <cell r="B132" t="str">
            <v>STONEY BROOKE OF RIVERDALE</v>
          </cell>
          <cell r="C132">
            <v>3013021</v>
          </cell>
          <cell r="D132" t="str">
            <v>evangeline boden</v>
          </cell>
          <cell r="E132" t="str">
            <v>StoneyBrooke4390@gmail.com</v>
          </cell>
          <cell r="F132" t="str">
            <v>+1 (801) 393-2824</v>
          </cell>
          <cell r="G132" t="str">
            <v>T2031	Adult Residential Services (Assisted Living Facilities Level I, Level II, &amp; Type N Facilities); per diem</v>
          </cell>
          <cell r="I132"/>
          <cell r="M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cell r="BE132"/>
          <cell r="BF132"/>
          <cell r="BG132"/>
          <cell r="BH132"/>
          <cell r="BI132"/>
          <cell r="BJ132"/>
          <cell r="BK132"/>
          <cell r="BL132"/>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t="str">
            <v>Yes</v>
          </cell>
          <cell r="CX132">
            <v>0.95</v>
          </cell>
          <cell r="CY132">
            <v>120000</v>
          </cell>
          <cell r="CZ132"/>
          <cell r="DA132">
            <v>6879</v>
          </cell>
          <cell r="DB132">
            <v>9971</v>
          </cell>
          <cell r="DC132">
            <v>29185</v>
          </cell>
          <cell r="DD132">
            <v>13107</v>
          </cell>
          <cell r="DE132">
            <v>57066</v>
          </cell>
          <cell r="DF132">
            <v>16</v>
          </cell>
          <cell r="DG132">
            <v>3946</v>
          </cell>
          <cell r="DH132">
            <v>3706</v>
          </cell>
          <cell r="DI132"/>
          <cell r="DJ132"/>
          <cell r="DK132"/>
          <cell r="DL132"/>
          <cell r="DM132"/>
          <cell r="DN132"/>
          <cell r="DO132"/>
          <cell r="DP132"/>
          <cell r="DQ132"/>
          <cell r="DR132"/>
          <cell r="DS132"/>
          <cell r="DT132"/>
          <cell r="DU132"/>
          <cell r="DV132"/>
          <cell r="DW132"/>
          <cell r="DX132"/>
          <cell r="DY132"/>
          <cell r="DZ132">
            <v>267673</v>
          </cell>
          <cell r="EA132">
            <v>13506</v>
          </cell>
          <cell r="EB132">
            <v>30000</v>
          </cell>
          <cell r="EC132">
            <v>750</v>
          </cell>
          <cell r="ED132"/>
          <cell r="EE132"/>
          <cell r="EF132"/>
          <cell r="EG132"/>
          <cell r="EH132"/>
          <cell r="EI132">
            <v>521650</v>
          </cell>
          <cell r="EJ132">
            <v>322320</v>
          </cell>
          <cell r="EK132">
            <v>24647</v>
          </cell>
          <cell r="EL132"/>
          <cell r="EM132"/>
          <cell r="EN132"/>
          <cell r="EO132"/>
          <cell r="EP132"/>
          <cell r="EQ132"/>
          <cell r="ER132"/>
          <cell r="ES132"/>
          <cell r="ET132"/>
          <cell r="EU132"/>
          <cell r="EV132"/>
          <cell r="EW132"/>
          <cell r="EX132"/>
          <cell r="EY132"/>
          <cell r="EZ132"/>
          <cell r="FA132"/>
          <cell r="FB132"/>
          <cell r="FC132"/>
          <cell r="FD132" t="str">
            <v>web-form@smartsheet.com</v>
          </cell>
          <cell r="FE132">
            <v>45723.624752094911</v>
          </cell>
          <cell r="FF132" t="str">
            <v>web-form@smartsheet.com</v>
          </cell>
          <cell r="FG132">
            <v>45723.624752094911</v>
          </cell>
        </row>
        <row r="133">
          <cell r="B133" t="str">
            <v>RISE SERVICES, INC.</v>
          </cell>
          <cell r="C133">
            <v>12845620</v>
          </cell>
          <cell r="D133" t="str">
            <v>Zana Kergaye</v>
          </cell>
          <cell r="E133" t="str">
            <v>zanak@riseservicesinc.org</v>
          </cell>
          <cell r="F133" t="str">
            <v>+1 (801) 676-8922</v>
          </cell>
          <cell r="G133" t="str">
            <v>H0034	Medication Administration – Medication Set-up; per 15 minutes
H0038	Personal Budget Assistance; per 15 minutes
H0045	Respite Care – Overnight, Out of Home, Room &amp; Board included or Respite Care Services – LTC facility; per diem
Other services or operations not listed above
S5150	Respite care services or Respite care services – Unskilled; per 15 minutes
T2016	Adult Residential Services – (Licensed Assisted Living Facility, Memory Care Unit); per diem
T2017	Habilitation Services; per diem</v>
          </cell>
          <cell r="H133" t="str">
            <v>Yes</v>
          </cell>
          <cell r="I133">
            <v>1</v>
          </cell>
          <cell r="K133">
            <v>144</v>
          </cell>
          <cell r="L133" t="str">
            <v>Yes</v>
          </cell>
          <cell r="M133">
            <v>1</v>
          </cell>
          <cell r="N133">
            <v>222</v>
          </cell>
          <cell r="P133"/>
          <cell r="Q133"/>
          <cell r="R133"/>
          <cell r="S133"/>
          <cell r="T133"/>
          <cell r="U133"/>
          <cell r="V133"/>
          <cell r="W133"/>
          <cell r="X133"/>
          <cell r="Y133"/>
          <cell r="Z133"/>
          <cell r="AA133"/>
          <cell r="AB133" t="str">
            <v>Yes</v>
          </cell>
          <cell r="AC133">
            <v>1</v>
          </cell>
          <cell r="AD133">
            <v>125</v>
          </cell>
          <cell r="AE133">
            <v>6.49</v>
          </cell>
          <cell r="AF133"/>
          <cell r="AG133"/>
          <cell r="AH133"/>
          <cell r="AI133"/>
          <cell r="AJ133"/>
          <cell r="AK133"/>
          <cell r="AL133"/>
          <cell r="AM133"/>
          <cell r="AN133"/>
          <cell r="AO133"/>
          <cell r="AP133"/>
          <cell r="AQ133"/>
          <cell r="AR133"/>
          <cell r="AS133" t="str">
            <v>Yes</v>
          </cell>
          <cell r="AT133">
            <v>1</v>
          </cell>
          <cell r="AU133">
            <v>2647</v>
          </cell>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t="str">
            <v>Yes</v>
          </cell>
          <cell r="BX133">
            <v>1</v>
          </cell>
          <cell r="BY133">
            <v>242331.22</v>
          </cell>
          <cell r="BZ133">
            <v>27954.68</v>
          </cell>
          <cell r="CA133">
            <v>1987.04</v>
          </cell>
          <cell r="CB133">
            <v>11450.61</v>
          </cell>
          <cell r="CC133">
            <v>76054.55</v>
          </cell>
          <cell r="CD133">
            <v>104998.84</v>
          </cell>
          <cell r="CE133">
            <v>103814.31</v>
          </cell>
          <cell r="CF133">
            <v>46</v>
          </cell>
          <cell r="CG133">
            <v>10310</v>
          </cell>
          <cell r="CH133">
            <v>10310</v>
          </cell>
          <cell r="CI133"/>
          <cell r="CJ133" t="str">
            <v>Yes</v>
          </cell>
          <cell r="CK133">
            <v>1</v>
          </cell>
          <cell r="CL133">
            <v>41553.08</v>
          </cell>
          <cell r="CM133">
            <v>0</v>
          </cell>
          <cell r="CN133">
            <v>0</v>
          </cell>
          <cell r="CO133">
            <v>896.26</v>
          </cell>
          <cell r="CP133">
            <v>4050.65</v>
          </cell>
          <cell r="CQ133">
            <v>8460.08</v>
          </cell>
          <cell r="CR133">
            <v>1816.45</v>
          </cell>
          <cell r="CS133">
            <v>3</v>
          </cell>
          <cell r="CT133">
            <v>1095</v>
          </cell>
          <cell r="CU133">
            <v>1095</v>
          </cell>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v>3255783</v>
          </cell>
          <cell r="EA133">
            <v>251578.04</v>
          </cell>
          <cell r="EB133">
            <v>431167.22</v>
          </cell>
          <cell r="EC133">
            <v>16443.560000000001</v>
          </cell>
          <cell r="ED133">
            <v>0</v>
          </cell>
          <cell r="EE133">
            <v>240777.17</v>
          </cell>
          <cell r="EF133">
            <v>4938082.63</v>
          </cell>
          <cell r="EG133" t="str">
            <v>Communications, Vehicle expenses, Equipment, Furniture, Trainings, Program Recreation, Software, Licenses, Liability Insurance, Bank Fees, Memberships and Dues, Books and Subscriptions, IT, Payroll, HR, Finance, Accounting, Billing, Management, Facility Management,</v>
          </cell>
          <cell r="EH133"/>
          <cell r="EI133">
            <v>19512251.109999999</v>
          </cell>
          <cell r="EJ133">
            <v>8132040.3399999999</v>
          </cell>
          <cell r="EK133">
            <v>1446398.01</v>
          </cell>
          <cell r="EL133">
            <v>2309532.41</v>
          </cell>
          <cell r="EM133">
            <v>23123715.550000001</v>
          </cell>
          <cell r="EN133"/>
          <cell r="EO133"/>
          <cell r="EP133"/>
          <cell r="EQ133"/>
          <cell r="ER133"/>
          <cell r="ES133"/>
          <cell r="ET133"/>
          <cell r="EU133"/>
          <cell r="EV133"/>
          <cell r="EW133"/>
          <cell r="EX133"/>
          <cell r="EY133"/>
          <cell r="EZ133"/>
          <cell r="FA133"/>
          <cell r="FB133"/>
          <cell r="FC133"/>
          <cell r="FD133" t="str">
            <v>web-form@smartsheet.com</v>
          </cell>
          <cell r="FE133">
            <v>45725.661924467589</v>
          </cell>
          <cell r="FF133" t="str">
            <v>web-form@smartsheet.com</v>
          </cell>
          <cell r="FG133">
            <v>45725.661924467589</v>
          </cell>
        </row>
        <row r="134">
          <cell r="B134" t="str">
            <v>DAVIS COUNTY AGING SRVC AW</v>
          </cell>
          <cell r="C134">
            <v>1952460362</v>
          </cell>
          <cell r="D134" t="str">
            <v>Rachelle Blackham</v>
          </cell>
          <cell r="E134" t="str">
            <v>rblackham@co.davis.ut.us</v>
          </cell>
          <cell r="F134" t="str">
            <v>+1 (801) 525-5107</v>
          </cell>
          <cell r="G134" t="str">
            <v>T1016	Case management; per 15 minutes</v>
          </cell>
          <cell r="I134"/>
          <cell r="M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t="str">
            <v>Yes</v>
          </cell>
          <cell r="BF134">
            <v>1</v>
          </cell>
          <cell r="BG134">
            <v>3887</v>
          </cell>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v>21802</v>
          </cell>
          <cell r="EA134">
            <v>688</v>
          </cell>
          <cell r="EB134">
            <v>11181</v>
          </cell>
          <cell r="EC134">
            <v>278</v>
          </cell>
          <cell r="ED134">
            <v>218</v>
          </cell>
          <cell r="EE134">
            <v>261</v>
          </cell>
          <cell r="EF134"/>
          <cell r="EG134" t="str">
            <v>These expenses were not charged to T2024 nor T1016.</v>
          </cell>
          <cell r="EH134" t="str">
            <v>Contracted labor cost includes our internal biller. 
General comment:  This year budget numbers look "off" because of the implementation of  PRISM/PEGA.</v>
          </cell>
          <cell r="EI134">
            <v>32994</v>
          </cell>
          <cell r="EJ134">
            <v>49381</v>
          </cell>
          <cell r="EK134">
            <v>16227</v>
          </cell>
          <cell r="EL134">
            <v>6879</v>
          </cell>
          <cell r="EM134">
            <v>33255</v>
          </cell>
          <cell r="EN134"/>
          <cell r="EO134"/>
          <cell r="EP134"/>
          <cell r="EQ134"/>
          <cell r="ER134"/>
          <cell r="ES134"/>
          <cell r="ET134"/>
          <cell r="EU134"/>
          <cell r="EV134"/>
          <cell r="EW134" t="str">
            <v>The total units includes T2024 as well.</v>
          </cell>
          <cell r="EX134"/>
          <cell r="EY134"/>
          <cell r="EZ134"/>
          <cell r="FA134"/>
          <cell r="FB134"/>
          <cell r="FC134"/>
          <cell r="FD134" t="str">
            <v>web-form@smartsheet.com</v>
          </cell>
          <cell r="FE134">
            <v>45726.583945833336</v>
          </cell>
          <cell r="FF134" t="str">
            <v>web-form@smartsheet.com</v>
          </cell>
          <cell r="FG134">
            <v>45726.583945833336</v>
          </cell>
        </row>
        <row r="135">
          <cell r="B135" t="str">
            <v>SAFE HAVEN FAMILY SERVICES</v>
          </cell>
          <cell r="C135" t="str">
            <v>00000000</v>
          </cell>
          <cell r="D135" t="str">
            <v>John Tauteoli</v>
          </cell>
          <cell r="E135" t="str">
            <v>safehavenfs801@gmail.com</v>
          </cell>
          <cell r="F135" t="str">
            <v>+1 (801) 560-3061</v>
          </cell>
          <cell r="G135" t="str">
            <v>H0038	Personal Budget Assistance; per 15 minutes
T2033	Adult Residential Services – (Licensed Community Residential Care); per diem</v>
          </cell>
          <cell r="I135"/>
          <cell r="L135" t="str">
            <v>Yes</v>
          </cell>
          <cell r="M135">
            <v>1</v>
          </cell>
          <cell r="N135">
            <v>18</v>
          </cell>
          <cell r="P135"/>
          <cell r="Q135"/>
          <cell r="R135"/>
          <cell r="S135"/>
          <cell r="T135"/>
          <cell r="U135"/>
          <cell r="V135"/>
          <cell r="W135"/>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cell r="DG135"/>
          <cell r="DH135"/>
          <cell r="DI135"/>
          <cell r="DJ135" t="str">
            <v>Yes</v>
          </cell>
          <cell r="DK135">
            <v>1</v>
          </cell>
          <cell r="DL135">
            <v>59400</v>
          </cell>
          <cell r="DM135"/>
          <cell r="DN135"/>
          <cell r="DO135">
            <v>9750</v>
          </cell>
          <cell r="DP135">
            <v>11880</v>
          </cell>
          <cell r="DQ135">
            <v>6750</v>
          </cell>
          <cell r="DR135">
            <v>5960</v>
          </cell>
          <cell r="DS135"/>
          <cell r="DT135">
            <v>4197</v>
          </cell>
          <cell r="DU135">
            <v>4197</v>
          </cell>
          <cell r="DV135"/>
          <cell r="DW135"/>
          <cell r="DX135"/>
          <cell r="DY135"/>
          <cell r="DZ135">
            <v>0</v>
          </cell>
          <cell r="EA135">
            <v>20659</v>
          </cell>
          <cell r="EB135">
            <v>120000</v>
          </cell>
          <cell r="EC135">
            <v>2544</v>
          </cell>
          <cell r="ED135">
            <v>317441</v>
          </cell>
          <cell r="EE135">
            <v>4704</v>
          </cell>
          <cell r="EF135">
            <v>5360</v>
          </cell>
          <cell r="EG135" t="str">
            <v>monthly meeting prizes and meals</v>
          </cell>
          <cell r="EH135"/>
          <cell r="EI135">
            <v>561181</v>
          </cell>
          <cell r="EJ135">
            <v>397444</v>
          </cell>
          <cell r="EK135"/>
          <cell r="EL135">
            <v>523831</v>
          </cell>
          <cell r="EM135"/>
          <cell r="EN135"/>
          <cell r="EO135"/>
          <cell r="EP135"/>
          <cell r="EQ135"/>
          <cell r="ER135"/>
          <cell r="ES135"/>
          <cell r="ET135"/>
          <cell r="EU135"/>
          <cell r="EV135"/>
          <cell r="EW135"/>
          <cell r="EX135"/>
          <cell r="EY135"/>
          <cell r="EZ135"/>
          <cell r="FA135"/>
          <cell r="FB135"/>
          <cell r="FC135"/>
          <cell r="FD135" t="str">
            <v>web-form@smartsheet.com</v>
          </cell>
          <cell r="FE135">
            <v>45727.839840520835</v>
          </cell>
          <cell r="FF135" t="str">
            <v>web-form@smartsheet.com</v>
          </cell>
          <cell r="FG135">
            <v>45727.839840520835</v>
          </cell>
        </row>
        <row r="136">
          <cell r="B136" t="str">
            <v>LIFE SKILLS AND INDIVIDUAL NEEDS CENTER</v>
          </cell>
          <cell r="C136">
            <v>0</v>
          </cell>
          <cell r="D136" t="str">
            <v>Richard Baer</v>
          </cell>
          <cell r="E136" t="str">
            <v>linc@linc4life.com</v>
          </cell>
          <cell r="F136" t="str">
            <v>+1 (435) 723-3913</v>
          </cell>
          <cell r="G136" t="str">
            <v>S5102	Adult Day Care (Adult Day Health) or Adult day health services; per diem
S5150	Respite care services or Respite care services – Unskilled; per 15 minutes
T2003	Non-medical transportation, one way trip</v>
          </cell>
          <cell r="I136"/>
          <cell r="M136"/>
          <cell r="P136"/>
          <cell r="Q136"/>
          <cell r="R136"/>
          <cell r="S136"/>
          <cell r="T136"/>
          <cell r="U136"/>
          <cell r="V136"/>
          <cell r="W136"/>
          <cell r="X136"/>
          <cell r="Y136"/>
          <cell r="Z136"/>
          <cell r="AA136"/>
          <cell r="AB136"/>
          <cell r="AC136"/>
          <cell r="AD136"/>
          <cell r="AE136"/>
          <cell r="AF136" t="str">
            <v>Yes</v>
          </cell>
          <cell r="AG136">
            <v>1</v>
          </cell>
          <cell r="AH136">
            <v>5926</v>
          </cell>
          <cell r="AI136">
            <v>5.87</v>
          </cell>
          <cell r="AJ136"/>
          <cell r="AK136"/>
          <cell r="AL136"/>
          <cell r="AM136"/>
          <cell r="AN136"/>
          <cell r="AO136"/>
          <cell r="AP136"/>
          <cell r="AQ136"/>
          <cell r="AR136"/>
          <cell r="AS136" t="str">
            <v>Yes</v>
          </cell>
          <cell r="AT136">
            <v>0.35</v>
          </cell>
          <cell r="AU136">
            <v>8802</v>
          </cell>
          <cell r="AV136"/>
          <cell r="AW136"/>
          <cell r="AX136"/>
          <cell r="AY136"/>
          <cell r="AZ136"/>
          <cell r="BA136"/>
          <cell r="BB136"/>
          <cell r="BC136"/>
          <cell r="BD136"/>
          <cell r="BE136"/>
          <cell r="BF136"/>
          <cell r="BG136"/>
          <cell r="BH136"/>
          <cell r="BI136"/>
          <cell r="BJ136"/>
          <cell r="BK136"/>
          <cell r="BL136"/>
          <cell r="BM136"/>
          <cell r="BN136"/>
          <cell r="BO136"/>
          <cell r="BP136"/>
          <cell r="BQ136"/>
          <cell r="BR136" t="str">
            <v>Yes</v>
          </cell>
          <cell r="BS136">
            <v>0.97</v>
          </cell>
          <cell r="BT136">
            <v>5978</v>
          </cell>
          <cell r="BU136">
            <v>33</v>
          </cell>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cell r="DG136"/>
          <cell r="DH136"/>
          <cell r="DI136"/>
          <cell r="DJ136"/>
          <cell r="DK136"/>
          <cell r="DL136"/>
          <cell r="DM136"/>
          <cell r="DN136"/>
          <cell r="DO136"/>
          <cell r="DP136"/>
          <cell r="DQ136"/>
          <cell r="DR136"/>
          <cell r="DS136"/>
          <cell r="DT136"/>
          <cell r="DU136"/>
          <cell r="DV136"/>
          <cell r="DW136"/>
          <cell r="DX136"/>
          <cell r="DY136"/>
          <cell r="DZ136">
            <v>234505</v>
          </cell>
          <cell r="EA136">
            <v>13659</v>
          </cell>
          <cell r="EB136">
            <v>108001</v>
          </cell>
          <cell r="EC136">
            <v>4742</v>
          </cell>
          <cell r="ED136">
            <v>22800</v>
          </cell>
          <cell r="EE136"/>
          <cell r="EF136">
            <v>446812</v>
          </cell>
          <cell r="EG136" t="str">
            <v>accounting, auto, bank, cleaning supplies, director services, due/subscriptions, food, gifts, insurance, licenses &amp; permits, petty cash, meals, office expense, owner's draw, product supplies, program expense, rent, retainer, taxes, telephone</v>
          </cell>
          <cell r="EH136" t="str">
            <v>We have no completely clean way to break out HCBS code revenue and expense from other revenue and expense. Figures presented are best estimates based on HCBS code revenue being 76% of total DSPD and VR revenues.</v>
          </cell>
          <cell r="EI136">
            <v>1080052</v>
          </cell>
          <cell r="EJ136">
            <v>450666</v>
          </cell>
          <cell r="EK136">
            <v>0</v>
          </cell>
          <cell r="EL136">
            <v>701537</v>
          </cell>
          <cell r="EM136"/>
          <cell r="EN136"/>
          <cell r="EO136"/>
          <cell r="EP136"/>
          <cell r="EQ136"/>
          <cell r="ER136"/>
          <cell r="ES136"/>
          <cell r="ET136"/>
          <cell r="EU136"/>
          <cell r="EV136"/>
          <cell r="EW136"/>
          <cell r="EX136"/>
          <cell r="EY136"/>
          <cell r="EZ136"/>
          <cell r="FA136" t="str">
            <v>33 clients per trip is an estimate. Absenteeism would make it a little lower. We don't have a record of total miles driven.</v>
          </cell>
          <cell r="FB136"/>
          <cell r="FC136"/>
          <cell r="FD136" t="str">
            <v>web-form@smartsheet.com</v>
          </cell>
          <cell r="FE136">
            <v>45728.648354351855</v>
          </cell>
          <cell r="FF136" t="str">
            <v>web-form@smartsheet.com</v>
          </cell>
          <cell r="FG136">
            <v>45728.648354351855</v>
          </cell>
        </row>
        <row r="137">
          <cell r="B137" t="str">
            <v>UTAH PAYEE SERVICES, LLC</v>
          </cell>
          <cell r="C137">
            <v>4046520</v>
          </cell>
          <cell r="D137" t="str">
            <v>Michael Haslam</v>
          </cell>
          <cell r="E137" t="str">
            <v>team@utahpayee.com</v>
          </cell>
          <cell r="F137" t="str">
            <v>+1 (801) 417-4082</v>
          </cell>
          <cell r="G137" t="str">
            <v>H0038	Personal Budget Assistance; per 15 minutes</v>
          </cell>
          <cell r="I137"/>
          <cell r="L137" t="str">
            <v>Yes</v>
          </cell>
          <cell r="M137">
            <v>0.95</v>
          </cell>
          <cell r="N137">
            <v>24</v>
          </cell>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cell r="BE137"/>
          <cell r="BF137"/>
          <cell r="BG137"/>
          <cell r="BH137"/>
          <cell r="BI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cell r="DG137"/>
          <cell r="DH137"/>
          <cell r="DI137"/>
          <cell r="DJ137"/>
          <cell r="DK137"/>
          <cell r="DL137"/>
          <cell r="DM137"/>
          <cell r="DN137"/>
          <cell r="DO137"/>
          <cell r="DP137"/>
          <cell r="DQ137"/>
          <cell r="DR137"/>
          <cell r="DS137"/>
          <cell r="DT137"/>
          <cell r="DU137"/>
          <cell r="DV137"/>
          <cell r="DW137"/>
          <cell r="DX137"/>
          <cell r="DY137"/>
          <cell r="DZ137">
            <v>48000</v>
          </cell>
          <cell r="EA137">
            <v>1800</v>
          </cell>
          <cell r="EB137">
            <v>30000</v>
          </cell>
          <cell r="EC137">
            <v>400</v>
          </cell>
          <cell r="ED137">
            <v>68000</v>
          </cell>
          <cell r="EE137">
            <v>0</v>
          </cell>
          <cell r="EF137">
            <v>4100</v>
          </cell>
          <cell r="EG137" t="str">
            <v>Software for tracking expenses, bank fees, postage, bookkeeper, billing software.</v>
          </cell>
          <cell r="EH137"/>
          <cell r="EI137">
            <v>97951.43</v>
          </cell>
          <cell r="EJ137">
            <v>78000</v>
          </cell>
          <cell r="EK137">
            <v>0</v>
          </cell>
          <cell r="EL137">
            <v>19951.43</v>
          </cell>
          <cell r="EM137"/>
          <cell r="EN137"/>
          <cell r="EO137"/>
          <cell r="EP137"/>
          <cell r="EQ137"/>
          <cell r="ER137"/>
          <cell r="ES137"/>
          <cell r="ET137"/>
          <cell r="EU137"/>
          <cell r="EV137"/>
          <cell r="EW137"/>
          <cell r="EX137"/>
          <cell r="EY137"/>
          <cell r="EZ137"/>
          <cell r="FA137"/>
          <cell r="FB137"/>
          <cell r="FC137"/>
          <cell r="FD137" t="str">
            <v>web-form@smartsheet.com</v>
          </cell>
          <cell r="FE137">
            <v>45728.678457939815</v>
          </cell>
          <cell r="FF137" t="str">
            <v>web-form@smartsheet.com</v>
          </cell>
          <cell r="FG137">
            <v>45728.678457939815</v>
          </cell>
        </row>
        <row r="138">
          <cell r="B138" t="str">
            <v>BRIGHTWORK VILLA AMER FORK</v>
          </cell>
          <cell r="C138">
            <v>1760849335</v>
          </cell>
          <cell r="D138" t="str">
            <v>Christopher Julian</v>
          </cell>
          <cell r="E138" t="str">
            <v>support@brightworkliving.com</v>
          </cell>
          <cell r="F138" t="str">
            <v>+1 (801) 425-9124</v>
          </cell>
          <cell r="G138" t="str">
            <v>T2031	Adult Residential Services (Assisted Living Facilities Level I, Level II, &amp; Type N Facilities); per diem</v>
          </cell>
          <cell r="I138"/>
          <cell r="M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t="str">
            <v>Yes</v>
          </cell>
          <cell r="CX138">
            <v>0.5</v>
          </cell>
          <cell r="CY138">
            <v>2500</v>
          </cell>
          <cell r="CZ138">
            <v>14312</v>
          </cell>
          <cell r="DA138">
            <v>1193</v>
          </cell>
          <cell r="DB138">
            <v>9044</v>
          </cell>
          <cell r="DC138">
            <v>9343</v>
          </cell>
          <cell r="DD138">
            <v>197967</v>
          </cell>
          <cell r="DE138">
            <v>22133</v>
          </cell>
          <cell r="DF138">
            <v>11</v>
          </cell>
          <cell r="DG138">
            <v>365</v>
          </cell>
          <cell r="DH138">
            <v>365</v>
          </cell>
          <cell r="DI138"/>
          <cell r="DJ138"/>
          <cell r="DK138"/>
          <cell r="DL138"/>
          <cell r="DM138"/>
          <cell r="DN138"/>
          <cell r="DO138"/>
          <cell r="DP138"/>
          <cell r="DQ138"/>
          <cell r="DR138"/>
          <cell r="DS138"/>
          <cell r="DT138"/>
          <cell r="DU138"/>
          <cell r="DV138"/>
          <cell r="DW138"/>
          <cell r="DX138"/>
          <cell r="DY138"/>
          <cell r="DZ138">
            <v>70080</v>
          </cell>
          <cell r="EA138">
            <v>4644</v>
          </cell>
          <cell r="EB138">
            <v>80404</v>
          </cell>
          <cell r="EC138">
            <v>3135</v>
          </cell>
          <cell r="ED138">
            <v>2400</v>
          </cell>
          <cell r="EE138">
            <v>0</v>
          </cell>
          <cell r="EF138">
            <v>1200</v>
          </cell>
          <cell r="EG138" t="str">
            <v>Training</v>
          </cell>
          <cell r="EH138"/>
          <cell r="EI138">
            <v>362649</v>
          </cell>
          <cell r="EJ138">
            <v>150484</v>
          </cell>
          <cell r="EK138">
            <v>12354</v>
          </cell>
          <cell r="EL138">
            <v>42502</v>
          </cell>
          <cell r="EM138"/>
          <cell r="EN138"/>
          <cell r="EO138"/>
          <cell r="EP138"/>
          <cell r="EQ138"/>
          <cell r="ER138"/>
          <cell r="ES138"/>
          <cell r="ET138"/>
          <cell r="EU138"/>
          <cell r="EV138"/>
          <cell r="EW138"/>
          <cell r="EX138"/>
          <cell r="EY138"/>
          <cell r="EZ138"/>
          <cell r="FA138"/>
          <cell r="FB138"/>
          <cell r="FC138"/>
          <cell r="FD138" t="str">
            <v>web-form@smartsheet.com</v>
          </cell>
          <cell r="FE138">
            <v>45731.357207442132</v>
          </cell>
          <cell r="FF138" t="str">
            <v>web-form@smartsheet.com</v>
          </cell>
          <cell r="FG138">
            <v>45731.357207442132</v>
          </cell>
        </row>
        <row r="139">
          <cell r="B139" t="str">
            <v>BRIGHTWORK VILLA PARK PLACE LLC</v>
          </cell>
          <cell r="C139">
            <v>1295270601</v>
          </cell>
          <cell r="D139" t="str">
            <v>Christopher Julian</v>
          </cell>
          <cell r="E139" t="str">
            <v>support@brightworkliving.com</v>
          </cell>
          <cell r="F139" t="str">
            <v>+1 (801) 425-9124</v>
          </cell>
          <cell r="G139" t="str">
            <v>T2031	Adult Residential Services (Assisted Living Facilities Level I, Level II, &amp; Type N Facilities); per diem</v>
          </cell>
          <cell r="I139"/>
          <cell r="M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t="str">
            <v>Yes</v>
          </cell>
          <cell r="CX139">
            <v>0.5</v>
          </cell>
          <cell r="CY139">
            <v>2500</v>
          </cell>
          <cell r="CZ139">
            <v>11710</v>
          </cell>
          <cell r="DA139">
            <v>976</v>
          </cell>
          <cell r="DB139">
            <v>7400</v>
          </cell>
          <cell r="DC139">
            <v>7846</v>
          </cell>
          <cell r="DD139">
            <v>9339</v>
          </cell>
          <cell r="DE139">
            <v>18109</v>
          </cell>
          <cell r="DF139">
            <v>9</v>
          </cell>
          <cell r="DG139">
            <v>365</v>
          </cell>
          <cell r="DH139">
            <v>365</v>
          </cell>
          <cell r="DI139"/>
          <cell r="DJ139"/>
          <cell r="DK139"/>
          <cell r="DL139"/>
          <cell r="DM139"/>
          <cell r="DN139"/>
          <cell r="DO139"/>
          <cell r="DP139"/>
          <cell r="DQ139"/>
          <cell r="DR139"/>
          <cell r="DS139"/>
          <cell r="DT139"/>
          <cell r="DU139"/>
          <cell r="DV139"/>
          <cell r="DW139"/>
          <cell r="DX139"/>
          <cell r="DY139"/>
          <cell r="DZ139">
            <v>90861</v>
          </cell>
          <cell r="EA139">
            <v>6400</v>
          </cell>
          <cell r="EB139">
            <v>79520</v>
          </cell>
          <cell r="EC139">
            <v>3120</v>
          </cell>
          <cell r="ED139">
            <v>2400</v>
          </cell>
          <cell r="EE139">
            <v>0</v>
          </cell>
          <cell r="EF139">
            <v>1200</v>
          </cell>
          <cell r="EG139" t="str">
            <v>Training</v>
          </cell>
          <cell r="EH139"/>
          <cell r="EI139">
            <v>296712</v>
          </cell>
          <cell r="EJ139">
            <v>170381</v>
          </cell>
          <cell r="EK139">
            <v>13963</v>
          </cell>
          <cell r="EL139">
            <v>34775</v>
          </cell>
          <cell r="EM139"/>
          <cell r="EN139"/>
          <cell r="EO139"/>
          <cell r="EP139"/>
          <cell r="EQ139"/>
          <cell r="ER139"/>
          <cell r="ES139"/>
          <cell r="ET139"/>
          <cell r="EU139"/>
          <cell r="EV139"/>
          <cell r="EW139"/>
          <cell r="EX139"/>
          <cell r="EY139"/>
          <cell r="EZ139"/>
          <cell r="FA139"/>
          <cell r="FB139"/>
          <cell r="FC139"/>
          <cell r="FD139" t="str">
            <v>web-form@smartsheet.com</v>
          </cell>
          <cell r="FE139">
            <v>45731.373387291664</v>
          </cell>
          <cell r="FF139" t="str">
            <v>web-form@smartsheet.com</v>
          </cell>
          <cell r="FG139">
            <v>45731.373387291664</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bined"/>
      <sheetName val="AZ"/>
      <sheetName val="CO"/>
      <sheetName val="ID"/>
      <sheetName val="KY"/>
      <sheetName val="MT"/>
      <sheetName val="NV"/>
      <sheetName val="NM"/>
      <sheetName val="WY"/>
    </sheetNames>
    <sheetDataSet>
      <sheetData sheetId="0"/>
      <sheetData sheetId="1">
        <row r="2">
          <cell r="B2" t="str">
            <v>ok</v>
          </cell>
        </row>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t="e">
            <v>#N/A</v>
          </cell>
        </row>
        <row r="7">
          <cell r="A7" t="str">
            <v>H0043</v>
          </cell>
          <cell r="B7" t="str">
            <v>Adult Residential Services – Certified Independent Living Facility; per diem</v>
          </cell>
          <cell r="C7">
            <v>96.26</v>
          </cell>
        </row>
        <row r="8">
          <cell r="A8" t="str">
            <v>H0045</v>
          </cell>
          <cell r="B8" t="str">
            <v>Respite Care – Overnight, Out of Home, Room &amp; Board included or Respite Care Services – LTC facility; per diem</v>
          </cell>
          <cell r="C8" t="e">
            <v>#N/A</v>
          </cell>
        </row>
        <row r="9">
          <cell r="A9" t="str">
            <v>S5102</v>
          </cell>
          <cell r="B9" t="str">
            <v>Adult Day Care (Adult Day Health) or Adult day health services; per diem</v>
          </cell>
          <cell r="C9">
            <v>99.39</v>
          </cell>
        </row>
        <row r="10">
          <cell r="A10" t="str">
            <v>S5125</v>
          </cell>
          <cell r="B10" t="str">
            <v>Attendant Care Services or Personal attendant service, participant employed; per 15 minutes</v>
          </cell>
          <cell r="C10">
            <v>6.67</v>
          </cell>
        </row>
        <row r="11">
          <cell r="A11" t="str">
            <v>S5130</v>
          </cell>
          <cell r="B11" t="str">
            <v>Homemaker services; per 15 minutes</v>
          </cell>
          <cell r="C11">
            <v>8.4</v>
          </cell>
        </row>
        <row r="12">
          <cell r="A12" t="str">
            <v>S5135</v>
          </cell>
          <cell r="B12" t="str">
            <v>Companion care adult; per 15 minutes</v>
          </cell>
          <cell r="C12">
            <v>6.67</v>
          </cell>
        </row>
        <row r="13">
          <cell r="A13" t="str">
            <v>S5150</v>
          </cell>
          <cell r="B13" t="str">
            <v>Respite care services or Respite care services – Unskilled; per 15 minutes</v>
          </cell>
          <cell r="C13">
            <v>6.67</v>
          </cell>
        </row>
        <row r="14">
          <cell r="A14" t="str">
            <v>S5170</v>
          </cell>
          <cell r="B14" t="str">
            <v>Home Delivered Meals or Supplemental Meals (Liquid and Solid)</v>
          </cell>
          <cell r="C14">
            <v>13.76</v>
          </cell>
        </row>
        <row r="15">
          <cell r="A15" t="str">
            <v>T1000</v>
          </cell>
          <cell r="B15" t="str">
            <v>Extended State Plan Service – Private Duty Nursing; per 15 minutes</v>
          </cell>
          <cell r="C15" t="e">
            <v>#N/A</v>
          </cell>
        </row>
        <row r="16">
          <cell r="A16" t="str">
            <v>T1005</v>
          </cell>
          <cell r="B16" t="str">
            <v>Respite care services; per 15 minutes</v>
          </cell>
          <cell r="C16" t="e">
            <v>#N/A</v>
          </cell>
        </row>
        <row r="17">
          <cell r="A17" t="str">
            <v>T1016</v>
          </cell>
          <cell r="B17" t="str">
            <v>Case management; per 15 minutes</v>
          </cell>
          <cell r="C17" t="e">
            <v>#N/A</v>
          </cell>
        </row>
        <row r="18">
          <cell r="A18" t="str">
            <v>T1019</v>
          </cell>
          <cell r="B18" t="str">
            <v>Personal attendant service, agency-based; per 15 minutes</v>
          </cell>
          <cell r="C18">
            <v>8.83</v>
          </cell>
        </row>
        <row r="19">
          <cell r="A19" t="str">
            <v>T1021</v>
          </cell>
          <cell r="B19" t="str">
            <v>Supportive Maintenance, home health aide or Home Health Aide or Certif Nurse Assist, per Visit</v>
          </cell>
          <cell r="C19">
            <v>60.03</v>
          </cell>
        </row>
        <row r="20">
          <cell r="A20" t="str">
            <v>T1027</v>
          </cell>
          <cell r="B20" t="str">
            <v>Family Training &amp; Counseling for child development; per 15 minutes</v>
          </cell>
          <cell r="C20" t="e">
            <v>#N/A</v>
          </cell>
        </row>
        <row r="21">
          <cell r="A21" t="str">
            <v>T2003</v>
          </cell>
          <cell r="B21" t="str">
            <v>Non-medical transportation, one way trip</v>
          </cell>
          <cell r="C21" t="e">
            <v>#N/A</v>
          </cell>
        </row>
        <row r="22">
          <cell r="A22" t="str">
            <v>T2016</v>
          </cell>
          <cell r="B22" t="str">
            <v>Adult Residential Services – (Licensed Assisted Living Facility, Memory Care Unit); per diem</v>
          </cell>
          <cell r="C22" t="str">
            <v>BR</v>
          </cell>
        </row>
        <row r="23">
          <cell r="A23" t="str">
            <v>T2017</v>
          </cell>
          <cell r="B23" t="str">
            <v>Habilitation Services; per diem</v>
          </cell>
          <cell r="C23" t="str">
            <v>BR</v>
          </cell>
        </row>
        <row r="24">
          <cell r="A24" t="str">
            <v>T2031</v>
          </cell>
          <cell r="B24" t="str">
            <v>Adult Residential Services (Assisted Living Facilities Level I, Level II, &amp; Type N Facilities); per diem</v>
          </cell>
          <cell r="C24" t="str">
            <v>BR</v>
          </cell>
        </row>
        <row r="25">
          <cell r="A25" t="str">
            <v>T2033</v>
          </cell>
          <cell r="B25" t="str">
            <v>Adult Residential Services – (Licensed Community Residential Care); per diem</v>
          </cell>
          <cell r="C25" t="str">
            <v>BR</v>
          </cell>
        </row>
        <row r="26">
          <cell r="A26" t="str">
            <v>T2040</v>
          </cell>
          <cell r="B26" t="str">
            <v>Financial Management Services; per 15 minutes</v>
          </cell>
          <cell r="C26">
            <v>67.73</v>
          </cell>
        </row>
      </sheetData>
      <sheetData sheetId="2">
        <row r="3">
          <cell r="C3" t="str">
            <v>Note - the rates listed are often the "Outside Denver" rates</v>
          </cell>
        </row>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v>9.1999999999999993</v>
          </cell>
        </row>
        <row r="7">
          <cell r="A7" t="str">
            <v>H0043</v>
          </cell>
          <cell r="B7" t="str">
            <v>Adult Residential Services – Certified Independent Living Facility; per diem</v>
          </cell>
          <cell r="C7" t="e">
            <v>#N/A</v>
          </cell>
        </row>
        <row r="8">
          <cell r="A8" t="str">
            <v>H0045</v>
          </cell>
          <cell r="B8" t="str">
            <v>Respite Care – Overnight, Out of Home, Room &amp; Board included or Respite Care Services – LTC facility; per diem</v>
          </cell>
          <cell r="C8">
            <v>194.06</v>
          </cell>
        </row>
        <row r="9">
          <cell r="A9" t="str">
            <v>S5102</v>
          </cell>
          <cell r="B9" t="str">
            <v>Adult Day Care (Adult Day Health) or Adult day health services; per diem</v>
          </cell>
          <cell r="C9" t="e">
            <v>#N/A</v>
          </cell>
        </row>
        <row r="10">
          <cell r="A10" t="str">
            <v>S5125</v>
          </cell>
          <cell r="B10" t="str">
            <v>Attendant Care Services or Personal attendant service, participant employed; per 15 minutes</v>
          </cell>
          <cell r="C10" t="e">
            <v>#N/A</v>
          </cell>
        </row>
        <row r="11">
          <cell r="A11" t="str">
            <v>S5130</v>
          </cell>
          <cell r="B11" t="str">
            <v>Homemaker services; per 15 minutes</v>
          </cell>
          <cell r="C11">
            <v>7.01</v>
          </cell>
        </row>
        <row r="12">
          <cell r="A12" t="str">
            <v>S5135</v>
          </cell>
          <cell r="B12" t="str">
            <v>Companion care adult; per 15 minutes</v>
          </cell>
          <cell r="C12" t="e">
            <v>#N/A</v>
          </cell>
        </row>
        <row r="13">
          <cell r="A13" t="str">
            <v>S5150</v>
          </cell>
          <cell r="B13" t="str">
            <v>Respite care services or Respite care services – Unskilled; per 15 minutes</v>
          </cell>
          <cell r="C13">
            <v>7.27</v>
          </cell>
        </row>
        <row r="14">
          <cell r="A14" t="str">
            <v>S5170</v>
          </cell>
          <cell r="B14" t="str">
            <v>Home Delivered Meals or Supplemental Meals (Liquid and Solid)</v>
          </cell>
          <cell r="C14">
            <v>12.58</v>
          </cell>
        </row>
        <row r="15">
          <cell r="A15" t="str">
            <v>T1000</v>
          </cell>
          <cell r="B15" t="str">
            <v>Extended State Plan Service – Private Duty Nursing; per 15 minutes</v>
          </cell>
          <cell r="C15" t="e">
            <v>#N/A</v>
          </cell>
        </row>
        <row r="16">
          <cell r="A16" t="str">
            <v>T1005</v>
          </cell>
          <cell r="B16" t="str">
            <v>Respite care services; per 15 minutes</v>
          </cell>
          <cell r="C16">
            <v>8.43</v>
          </cell>
        </row>
        <row r="17">
          <cell r="A17" t="str">
            <v>T1016</v>
          </cell>
          <cell r="B17" t="str">
            <v>Case management; per 15 minutes</v>
          </cell>
          <cell r="C17" t="e">
            <v>#N/A</v>
          </cell>
        </row>
        <row r="18">
          <cell r="A18" t="str">
            <v>T1019</v>
          </cell>
          <cell r="B18" t="str">
            <v>Personal attendant service, agency-based; per 15 minutes</v>
          </cell>
          <cell r="C18">
            <v>6.6</v>
          </cell>
        </row>
        <row r="19">
          <cell r="A19" t="str">
            <v>T1021</v>
          </cell>
          <cell r="B19" t="str">
            <v>Supportive Maintenance, home health aide or Home Health Aide or Certif Nurse Assist, per Visit</v>
          </cell>
          <cell r="C19" t="e">
            <v>#N/A</v>
          </cell>
        </row>
        <row r="20">
          <cell r="A20" t="str">
            <v>T1027</v>
          </cell>
          <cell r="B20" t="str">
            <v>Family Training &amp; Counseling for child development; per 15 minutes</v>
          </cell>
          <cell r="C20" t="e">
            <v>#N/A</v>
          </cell>
        </row>
        <row r="21">
          <cell r="A21" t="str">
            <v>T2003</v>
          </cell>
          <cell r="B21" t="str">
            <v>Non-medical transportation, one way trip</v>
          </cell>
          <cell r="C21">
            <v>13.41</v>
          </cell>
        </row>
        <row r="22">
          <cell r="A22" t="str">
            <v>T2016</v>
          </cell>
          <cell r="B22" t="str">
            <v>Adult Residential Services – (Licensed Assisted Living Facility, Memory Care Unit); per diem</v>
          </cell>
          <cell r="C22">
            <v>211.97</v>
          </cell>
        </row>
        <row r="23">
          <cell r="A23" t="str">
            <v>T2017</v>
          </cell>
          <cell r="B23" t="str">
            <v>Habilitation Services; per diem</v>
          </cell>
          <cell r="C23" t="e">
            <v>#N/A</v>
          </cell>
        </row>
        <row r="24">
          <cell r="A24" t="str">
            <v>T2031</v>
          </cell>
          <cell r="B24" t="str">
            <v>Adult Residential Services (Assisted Living Facilities Level I, Level II, &amp; Type N Facilities); per diem</v>
          </cell>
          <cell r="C24">
            <v>103.72</v>
          </cell>
        </row>
        <row r="25">
          <cell r="A25" t="str">
            <v>T2033</v>
          </cell>
          <cell r="B25" t="str">
            <v>Adult Residential Services – (Licensed Community Residential Care); per diem</v>
          </cell>
          <cell r="C25" t="e">
            <v>#N/A</v>
          </cell>
        </row>
        <row r="26">
          <cell r="A26" t="str">
            <v>T2040</v>
          </cell>
          <cell r="B26" t="str">
            <v>Financial Management Services; per 15 minutes</v>
          </cell>
          <cell r="C26">
            <v>103.21</v>
          </cell>
        </row>
        <row r="30">
          <cell r="A30"/>
          <cell r="B30" t="str">
            <v>Waivers</v>
          </cell>
        </row>
        <row r="31">
          <cell r="A31" t="str">
            <v xml:space="preserve">CLLI </v>
          </cell>
          <cell r="B31" t="str">
            <v>Children with Life Limiting Illness</v>
          </cell>
        </row>
        <row r="32">
          <cell r="A32" t="str">
            <v>CHCBS</v>
          </cell>
          <cell r="B32" t="str">
            <v>Children's Home and Community Based Services</v>
          </cell>
        </row>
        <row r="33">
          <cell r="A33" t="str">
            <v>CHRP</v>
          </cell>
          <cell r="B33" t="str">
            <v>Children's Habilitation Residential Program</v>
          </cell>
        </row>
        <row r="34">
          <cell r="A34" t="str">
            <v>DD</v>
          </cell>
          <cell r="B34" t="str">
            <v>Developmental Disabilities</v>
          </cell>
        </row>
        <row r="35">
          <cell r="A35" t="str">
            <v>SLS</v>
          </cell>
          <cell r="B35" t="str">
            <v>Supported Living Services</v>
          </cell>
        </row>
        <row r="36">
          <cell r="A36" t="str">
            <v>CES</v>
          </cell>
          <cell r="B36" t="str">
            <v>Children's Extensive Supports</v>
          </cell>
        </row>
        <row r="37">
          <cell r="A37" t="str">
            <v>EBD</v>
          </cell>
          <cell r="B37" t="str">
            <v>Elderly, Blind, and Disabled</v>
          </cell>
        </row>
        <row r="38">
          <cell r="A38" t="str">
            <v>CMHS</v>
          </cell>
          <cell r="B38" t="str">
            <v>Community Mental Health Supports</v>
          </cell>
        </row>
        <row r="39">
          <cell r="A39" t="str">
            <v>BI</v>
          </cell>
          <cell r="B39" t="str">
            <v>Brain Injury</v>
          </cell>
        </row>
        <row r="40">
          <cell r="A40" t="str">
            <v>CIH</v>
          </cell>
          <cell r="B40" t="str">
            <v>Complementary and Integrative Health</v>
          </cell>
        </row>
      </sheetData>
      <sheetData sheetId="3">
        <row r="1">
          <cell r="C1" t="str">
            <v>ID Waivers</v>
          </cell>
        </row>
        <row r="2">
          <cell r="C2" t="str">
            <v>Adult Developmental Disabilities Waiver</v>
          </cell>
        </row>
        <row r="3">
          <cell r="C3" t="str">
            <v>Aged and Disabled Waiver</v>
          </cell>
        </row>
        <row r="4">
          <cell r="A4" t="str">
            <v xml:space="preserve">Code </v>
          </cell>
          <cell r="B4" t="str">
            <v>Description1</v>
          </cell>
          <cell r="C4" t="str">
            <v xml:space="preserve">Rate </v>
          </cell>
        </row>
        <row r="5">
          <cell r="A5" t="str">
            <v>H0034</v>
          </cell>
          <cell r="B5" t="str">
            <v>Medication Administration – Medication Set-up; per 15 minutes</v>
          </cell>
        </row>
        <row r="6">
          <cell r="A6" t="str">
            <v>H0038</v>
          </cell>
          <cell r="B6" t="str">
            <v>Personal Budget Assistance; per 15 minutes</v>
          </cell>
        </row>
        <row r="7">
          <cell r="A7" t="str">
            <v>H0043</v>
          </cell>
          <cell r="B7" t="str">
            <v>Adult Residential Services – Certified Independent Living Facility; per diem</v>
          </cell>
        </row>
        <row r="8">
          <cell r="A8" t="str">
            <v>H0045</v>
          </cell>
          <cell r="B8" t="str">
            <v>Respite Care – Overnight, Out of Home, Room &amp; Board included or Respite Care Services – LTC facility; per diem</v>
          </cell>
        </row>
        <row r="9">
          <cell r="A9" t="str">
            <v>S5102</v>
          </cell>
          <cell r="B9" t="str">
            <v>Adult Day Care (Adult Day Health) or Adult day health services; per diem</v>
          </cell>
          <cell r="C9"/>
        </row>
        <row r="10">
          <cell r="A10" t="str">
            <v>S5125</v>
          </cell>
          <cell r="B10" t="str">
            <v>Attendant Care Services or Personal attendant service, participant employed; per 15 minutes</v>
          </cell>
          <cell r="C10">
            <v>6.11</v>
          </cell>
        </row>
        <row r="11">
          <cell r="A11" t="str">
            <v>S5130</v>
          </cell>
          <cell r="B11" t="str">
            <v>Homemaker services; per 15 minutes</v>
          </cell>
          <cell r="C11">
            <v>5.48</v>
          </cell>
        </row>
        <row r="12">
          <cell r="A12" t="str">
            <v>S5135</v>
          </cell>
          <cell r="B12" t="str">
            <v>Companion care adult; per 15 minutes</v>
          </cell>
          <cell r="C12">
            <v>5.77</v>
          </cell>
        </row>
        <row r="13">
          <cell r="A13" t="str">
            <v>S5150</v>
          </cell>
          <cell r="B13" t="str">
            <v>Respite care services or Respite care services – Unskilled; per 15 minutes</v>
          </cell>
          <cell r="C13"/>
        </row>
        <row r="14">
          <cell r="A14" t="str">
            <v>S5170</v>
          </cell>
          <cell r="B14" t="str">
            <v>Home Delivered Meals or Supplemental Meals (Liquid and Solid)</v>
          </cell>
          <cell r="C14">
            <v>7.06</v>
          </cell>
        </row>
        <row r="15">
          <cell r="A15" t="str">
            <v>T1000</v>
          </cell>
          <cell r="B15" t="str">
            <v>Extended State Plan Service – Private Duty Nursing; per 15 minutes</v>
          </cell>
          <cell r="C15">
            <v>15.29</v>
          </cell>
        </row>
        <row r="16">
          <cell r="A16" t="str">
            <v>T1005</v>
          </cell>
          <cell r="B16" t="str">
            <v>Respite care services; per 15 minutes</v>
          </cell>
          <cell r="C16">
            <v>5.77</v>
          </cell>
        </row>
        <row r="17">
          <cell r="A17" t="str">
            <v>T1016</v>
          </cell>
          <cell r="B17" t="str">
            <v>Case management; per 15 minutes</v>
          </cell>
          <cell r="C17">
            <v>14.02</v>
          </cell>
        </row>
        <row r="18">
          <cell r="A18" t="str">
            <v>T1019</v>
          </cell>
          <cell r="B18" t="str">
            <v>Personal attendant service, agency-based; per 15 minutes</v>
          </cell>
          <cell r="C18">
            <v>6.11</v>
          </cell>
        </row>
        <row r="19">
          <cell r="A19" t="str">
            <v>T1021</v>
          </cell>
          <cell r="B19" t="str">
            <v>Supportive Maintenance, home health aide or Home Health Aide or Certif Nurse Assist, per Visit</v>
          </cell>
          <cell r="C19"/>
        </row>
        <row r="20">
          <cell r="A20" t="str">
            <v>T1027</v>
          </cell>
          <cell r="B20" t="str">
            <v>Family Training &amp; Counseling for child development; per 15 minutes</v>
          </cell>
          <cell r="C20">
            <v>12.91</v>
          </cell>
        </row>
        <row r="21">
          <cell r="A21" t="str">
            <v>T2003</v>
          </cell>
          <cell r="B21" t="str">
            <v>Non-medical transportation, one way trip</v>
          </cell>
          <cell r="C21"/>
        </row>
        <row r="22">
          <cell r="A22" t="str">
            <v>T2016</v>
          </cell>
          <cell r="B22" t="str">
            <v>Adult Residential Services – (Licensed Assisted Living Facility, Memory Care Unit); per diem</v>
          </cell>
          <cell r="C22"/>
        </row>
        <row r="23">
          <cell r="A23" t="str">
            <v>T2017</v>
          </cell>
          <cell r="B23" t="str">
            <v>Habilitation Services; per diem</v>
          </cell>
          <cell r="C23"/>
        </row>
        <row r="24">
          <cell r="A24" t="str">
            <v>T2031</v>
          </cell>
          <cell r="B24" t="str">
            <v>Adult Residential Services (Assisted Living Facilities Level I, Level II, &amp; Type N Facilities); per diem</v>
          </cell>
        </row>
        <row r="25">
          <cell r="A25" t="str">
            <v>T2033</v>
          </cell>
          <cell r="B25" t="str">
            <v>Adult Residential Services – (Licensed Community Residential Care); per diem</v>
          </cell>
        </row>
        <row r="26">
          <cell r="A26" t="str">
            <v>T2040</v>
          </cell>
          <cell r="B26" t="str">
            <v>Financial Management Services; per 15 minutes</v>
          </cell>
        </row>
      </sheetData>
      <sheetData sheetId="4">
        <row r="1">
          <cell r="C1" t="str">
            <v xml:space="preserve">The rates listed here were effective July 1, 2023. </v>
          </cell>
        </row>
        <row r="2">
          <cell r="C2" t="str">
            <v>KY did have an updated fee schedule with rates effective January 1, 2025</v>
          </cell>
        </row>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t="e">
            <v>#N/A</v>
          </cell>
        </row>
        <row r="7">
          <cell r="A7" t="str">
            <v>H0043</v>
          </cell>
          <cell r="B7" t="str">
            <v>Adult Residential Services – Certified Independent Living Facility; per diem</v>
          </cell>
          <cell r="C7" t="e">
            <v>#N/A</v>
          </cell>
        </row>
        <row r="8">
          <cell r="A8" t="str">
            <v>H0045</v>
          </cell>
          <cell r="B8" t="str">
            <v>Respite Care – Overnight, Out of Home, Room &amp; Board included or Respite Care Services – LTC facility; per diem</v>
          </cell>
          <cell r="C8" t="e">
            <v>#N/A</v>
          </cell>
        </row>
        <row r="9">
          <cell r="A9" t="str">
            <v>S5102</v>
          </cell>
          <cell r="B9" t="str">
            <v>Adult Day Care (Adult Day Health) or Adult day health services; per diem</v>
          </cell>
          <cell r="C9" t="e">
            <v>#N/A</v>
          </cell>
        </row>
        <row r="10">
          <cell r="A10" t="str">
            <v>S5125</v>
          </cell>
          <cell r="B10" t="str">
            <v>Attendant Care Services or Personal attendant service, participant employed; per 15 minutes</v>
          </cell>
          <cell r="C10">
            <v>3.51</v>
          </cell>
        </row>
        <row r="11">
          <cell r="A11" t="str">
            <v>S5130</v>
          </cell>
          <cell r="B11" t="str">
            <v>Homemaker services; per 15 minutes</v>
          </cell>
          <cell r="C11">
            <v>7.87</v>
          </cell>
        </row>
        <row r="12">
          <cell r="A12" t="str">
            <v>S5135</v>
          </cell>
          <cell r="B12" t="str">
            <v>Companion care adult; per 15 minutes</v>
          </cell>
          <cell r="C12">
            <v>6.73</v>
          </cell>
        </row>
        <row r="13">
          <cell r="A13" t="str">
            <v>S5150</v>
          </cell>
          <cell r="B13" t="str">
            <v>Respite care services or Respite care services – Unskilled; per 15 minutes</v>
          </cell>
          <cell r="C13" t="e">
            <v>#N/A</v>
          </cell>
        </row>
        <row r="14">
          <cell r="A14" t="str">
            <v>S5170</v>
          </cell>
          <cell r="B14" t="str">
            <v>Home Delivered Meals or Supplemental Meals (Liquid and Solid)</v>
          </cell>
          <cell r="C14">
            <v>9.08</v>
          </cell>
        </row>
        <row r="15">
          <cell r="A15" t="str">
            <v>T1000</v>
          </cell>
          <cell r="B15" t="str">
            <v>Extended State Plan Service – Private Duty Nursing; per 15 minutes</v>
          </cell>
          <cell r="C15" t="e">
            <v>#N/A</v>
          </cell>
        </row>
        <row r="16">
          <cell r="A16" t="str">
            <v>T1005</v>
          </cell>
          <cell r="B16" t="str">
            <v>Respite care services; per 15 minutes</v>
          </cell>
          <cell r="C16">
            <v>3.7</v>
          </cell>
        </row>
        <row r="17">
          <cell r="A17" t="str">
            <v>T1016</v>
          </cell>
          <cell r="B17" t="str">
            <v>Case management; per 15 minutes</v>
          </cell>
          <cell r="C17">
            <v>4.0333333333333332</v>
          </cell>
        </row>
        <row r="18">
          <cell r="A18" t="str">
            <v>T1019</v>
          </cell>
          <cell r="B18" t="str">
            <v>Personal attendant service, agency-based; per 15 minutes</v>
          </cell>
          <cell r="C18">
            <v>7.37</v>
          </cell>
        </row>
        <row r="19">
          <cell r="A19" t="str">
            <v>T1021</v>
          </cell>
          <cell r="B19" t="str">
            <v>Supportive Maintenance, home health aide or Home Health Aide or Certif Nurse Assist, per Visit</v>
          </cell>
          <cell r="C19" t="e">
            <v>#N/A</v>
          </cell>
        </row>
        <row r="20">
          <cell r="A20" t="str">
            <v>T1027</v>
          </cell>
          <cell r="B20" t="str">
            <v>Family Training &amp; Counseling for child development; per 15 minutes</v>
          </cell>
          <cell r="C20" t="e">
            <v>#N/A</v>
          </cell>
        </row>
        <row r="21">
          <cell r="A21" t="str">
            <v>T2003</v>
          </cell>
          <cell r="B21" t="str">
            <v>Non-medical transportation, one way trip</v>
          </cell>
          <cell r="C21">
            <v>10.688333333333333</v>
          </cell>
        </row>
        <row r="22">
          <cell r="A22" t="str">
            <v>T2016</v>
          </cell>
          <cell r="B22" t="str">
            <v>Adult Residential Services – (Licensed Assisted Living Facility, Memory Care Unit); per diem</v>
          </cell>
          <cell r="C22">
            <v>188.6</v>
          </cell>
        </row>
        <row r="23">
          <cell r="A23" t="str">
            <v>T2017</v>
          </cell>
          <cell r="B23" t="str">
            <v>Habilitation Services; per diem</v>
          </cell>
          <cell r="C23" t="e">
            <v>#N/A</v>
          </cell>
        </row>
        <row r="24">
          <cell r="A24" t="str">
            <v>T2031</v>
          </cell>
          <cell r="B24" t="str">
            <v>Adult Residential Services (Assisted Living Facilities Level I, Level II, &amp; Type N Facilities); per diem</v>
          </cell>
          <cell r="C24">
            <v>105.15</v>
          </cell>
        </row>
        <row r="25">
          <cell r="A25" t="str">
            <v>T2033</v>
          </cell>
          <cell r="B25" t="str">
            <v>Adult Residential Services – (Licensed Community Residential Care); per diem</v>
          </cell>
          <cell r="C25">
            <v>225</v>
          </cell>
        </row>
        <row r="26">
          <cell r="A26" t="str">
            <v>T2040</v>
          </cell>
          <cell r="B26" t="str">
            <v>Financial Management Services; per 15 minutes</v>
          </cell>
          <cell r="C26">
            <v>196.63</v>
          </cell>
        </row>
        <row r="31">
          <cell r="A31" t="str">
            <v>ABI Acute</v>
          </cell>
          <cell r="B31" t="str">
            <v>Aquired Brain Injury Acute</v>
          </cell>
        </row>
        <row r="32">
          <cell r="A32" t="str">
            <v>ABI LTC</v>
          </cell>
          <cell r="B32" t="str">
            <v>Acquired Brain Injury Long Term Care</v>
          </cell>
        </row>
        <row r="33">
          <cell r="A33" t="str">
            <v>HCB</v>
          </cell>
          <cell r="B33" t="str">
            <v>Home and Community Based</v>
          </cell>
        </row>
        <row r="34">
          <cell r="A34" t="str">
            <v>MIIW</v>
          </cell>
          <cell r="B34" t="str">
            <v>Model II Waiver</v>
          </cell>
        </row>
        <row r="35">
          <cell r="A35" t="str">
            <v>MPW</v>
          </cell>
          <cell r="B35" t="str">
            <v>Michelle P. Waiver</v>
          </cell>
        </row>
        <row r="36">
          <cell r="A36" t="str">
            <v>SCL</v>
          </cell>
          <cell r="B36" t="str">
            <v>Supports for Community Living</v>
          </cell>
        </row>
      </sheetData>
      <sheetData sheetId="5">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t="e">
            <v>#N/A</v>
          </cell>
        </row>
        <row r="7">
          <cell r="A7" t="str">
            <v>H0043</v>
          </cell>
          <cell r="B7" t="str">
            <v>Adult Residential Services – Certified Independent Living Facility; per diem</v>
          </cell>
          <cell r="C7" t="e">
            <v>#N/A</v>
          </cell>
        </row>
        <row r="8">
          <cell r="A8" t="str">
            <v>H0045</v>
          </cell>
          <cell r="B8" t="str">
            <v>Respite Care – Overnight, Out of Home, Room &amp; Board included or Respite Care Services – LTC facility; per diem</v>
          </cell>
          <cell r="C8" t="e">
            <v>#N/A</v>
          </cell>
        </row>
        <row r="9">
          <cell r="A9" t="str">
            <v>S5102</v>
          </cell>
          <cell r="B9" t="str">
            <v>Adult Day Care (Adult Day Health) or Adult day health services; per diem</v>
          </cell>
          <cell r="C9" t="e">
            <v>#N/A</v>
          </cell>
        </row>
        <row r="10">
          <cell r="A10" t="str">
            <v>S5125</v>
          </cell>
          <cell r="B10" t="str">
            <v>Attendant Care Services or Personal attendant service, participant employed; per 15 minutes</v>
          </cell>
          <cell r="C10" t="e">
            <v>#N/A</v>
          </cell>
        </row>
        <row r="11">
          <cell r="A11" t="str">
            <v>S5130</v>
          </cell>
          <cell r="B11" t="str">
            <v>Homemaker services; per 15 minutes</v>
          </cell>
          <cell r="C11">
            <v>7.6074999999999999</v>
          </cell>
        </row>
        <row r="12">
          <cell r="A12" t="str">
            <v>S5135</v>
          </cell>
          <cell r="B12" t="str">
            <v>Companion care adult; per 15 minutes</v>
          </cell>
          <cell r="C12">
            <v>9.1199999999999992</v>
          </cell>
        </row>
        <row r="13">
          <cell r="A13" t="str">
            <v>S5150</v>
          </cell>
          <cell r="B13" t="str">
            <v>Respite care services or Respite care services – Unskilled; per 15 minutes</v>
          </cell>
          <cell r="C13">
            <v>6.02</v>
          </cell>
        </row>
        <row r="14">
          <cell r="A14" t="str">
            <v>S5170</v>
          </cell>
          <cell r="B14" t="str">
            <v>Home Delivered Meals or Supplemental Meals (Liquid and Solid)</v>
          </cell>
          <cell r="C14">
            <v>8.9700000000000006</v>
          </cell>
        </row>
        <row r="15">
          <cell r="A15" t="str">
            <v>T1000</v>
          </cell>
          <cell r="B15" t="str">
            <v>Extended State Plan Service – Private Duty Nursing; per 15 minutes</v>
          </cell>
          <cell r="C15" t="e">
            <v>#N/A</v>
          </cell>
        </row>
        <row r="16">
          <cell r="A16" t="str">
            <v>T1005</v>
          </cell>
          <cell r="B16" t="str">
            <v>Respite care services; per 15 minutes</v>
          </cell>
          <cell r="C16" t="e">
            <v>#N/A</v>
          </cell>
        </row>
        <row r="17">
          <cell r="A17" t="str">
            <v>T1016</v>
          </cell>
          <cell r="B17" t="str">
            <v>Case management; per 15 minutes</v>
          </cell>
          <cell r="C17" t="e">
            <v>#N/A</v>
          </cell>
        </row>
        <row r="18">
          <cell r="A18" t="str">
            <v>T1019</v>
          </cell>
          <cell r="B18" t="str">
            <v>Personal attendant service, agency-based; per 15 minutes</v>
          </cell>
          <cell r="C18">
            <v>8.92</v>
          </cell>
        </row>
        <row r="19">
          <cell r="A19" t="str">
            <v>T1021</v>
          </cell>
          <cell r="B19" t="str">
            <v>Supportive Maintenance, home health aide or Home Health Aide or Certif Nurse Assist, per Visit</v>
          </cell>
          <cell r="C19" t="e">
            <v>#N/A</v>
          </cell>
        </row>
        <row r="20">
          <cell r="A20" t="str">
            <v>T1027</v>
          </cell>
          <cell r="B20" t="str">
            <v>Family Training &amp; Counseling for child development; per 15 minutes</v>
          </cell>
          <cell r="C20">
            <v>14.77</v>
          </cell>
        </row>
        <row r="21">
          <cell r="A21" t="str">
            <v>T2003</v>
          </cell>
          <cell r="B21" t="str">
            <v>Non-medical transportation, one way trip</v>
          </cell>
          <cell r="C21">
            <v>14.9</v>
          </cell>
        </row>
        <row r="22">
          <cell r="A22" t="str">
            <v>T2016</v>
          </cell>
          <cell r="B22" t="str">
            <v>Adult Residential Services – (Licensed Assisted Living Facility, Memory Care Unit); per diem</v>
          </cell>
          <cell r="C22" t="e">
            <v>#N/A</v>
          </cell>
        </row>
        <row r="23">
          <cell r="A23" t="str">
            <v>T2017</v>
          </cell>
          <cell r="B23" t="str">
            <v>Habilitation Services; per diem</v>
          </cell>
          <cell r="C23">
            <v>30.52</v>
          </cell>
        </row>
        <row r="24">
          <cell r="A24" t="str">
            <v>T2031</v>
          </cell>
          <cell r="B24" t="str">
            <v>Adult Residential Services (Assisted Living Facilities Level I, Level II, &amp; Type N Facilities); per diem</v>
          </cell>
          <cell r="C24">
            <v>215.61</v>
          </cell>
        </row>
        <row r="25">
          <cell r="A25" t="str">
            <v>T2033</v>
          </cell>
          <cell r="B25" t="str">
            <v>Adult Residential Services – (Licensed Community Residential Care); per diem</v>
          </cell>
          <cell r="C25">
            <v>235.2</v>
          </cell>
        </row>
        <row r="26">
          <cell r="A26" t="str">
            <v>T2040</v>
          </cell>
          <cell r="B26" t="str">
            <v>Financial Management Services; per 15 minutes</v>
          </cell>
          <cell r="C26" t="str">
            <v>varies</v>
          </cell>
        </row>
      </sheetData>
      <sheetData sheetId="6">
        <row r="4">
          <cell r="A4" t="str">
            <v xml:space="preserve">Code </v>
          </cell>
          <cell r="B4" t="str">
            <v>Description1</v>
          </cell>
          <cell r="C4" t="str">
            <v xml:space="preserve">Rate </v>
          </cell>
        </row>
        <row r="5">
          <cell r="A5" t="str">
            <v>H0034</v>
          </cell>
          <cell r="B5" t="str">
            <v>Medication Administration – Medication Set-up; per 15 minutes</v>
          </cell>
        </row>
        <row r="6">
          <cell r="A6" t="str">
            <v>H0038</v>
          </cell>
          <cell r="B6" t="str">
            <v>Personal Budget Assistance; per 15 minutes</v>
          </cell>
        </row>
        <row r="7">
          <cell r="A7" t="str">
            <v>H0043</v>
          </cell>
          <cell r="B7" t="str">
            <v>Adult Residential Services – Certified Independent Living Facility; per diem</v>
          </cell>
        </row>
        <row r="8">
          <cell r="A8" t="str">
            <v>H0045</v>
          </cell>
          <cell r="B8" t="str">
            <v>Respite Care – Overnight, Out of Home, Room &amp; Board included or Respite Care Services – LTC facility; per diem</v>
          </cell>
        </row>
        <row r="9">
          <cell r="A9" t="str">
            <v>S5102</v>
          </cell>
          <cell r="B9" t="str">
            <v>Adult Day Care (Adult Day Health) or Adult day health services; per diem</v>
          </cell>
          <cell r="C9">
            <v>57.2</v>
          </cell>
        </row>
        <row r="10">
          <cell r="A10" t="str">
            <v>S5125</v>
          </cell>
          <cell r="B10" t="str">
            <v>Attendant Care Services or Personal attendant service, participant employed; per 15 minutes</v>
          </cell>
          <cell r="C10">
            <v>6.25</v>
          </cell>
        </row>
        <row r="11">
          <cell r="A11" t="str">
            <v>S5130</v>
          </cell>
          <cell r="B11" t="str">
            <v>Homemaker services; per 15 minutes</v>
          </cell>
          <cell r="C11">
            <v>6.25</v>
          </cell>
        </row>
        <row r="12">
          <cell r="A12" t="str">
            <v>S5135</v>
          </cell>
          <cell r="B12" t="str">
            <v>Companion care adult; per 15 minutes</v>
          </cell>
        </row>
        <row r="13">
          <cell r="A13" t="str">
            <v>S5150</v>
          </cell>
          <cell r="B13" t="str">
            <v>Respite care services or Respite care services – Unskilled; per 15 minutes</v>
          </cell>
          <cell r="C13">
            <v>6.25</v>
          </cell>
        </row>
        <row r="14">
          <cell r="A14" t="str">
            <v>S5170</v>
          </cell>
          <cell r="B14" t="str">
            <v>Home Delivered Meals or Supplemental Meals (Liquid and Solid)</v>
          </cell>
          <cell r="C14">
            <v>10.31</v>
          </cell>
        </row>
        <row r="15">
          <cell r="A15" t="str">
            <v>T1000</v>
          </cell>
          <cell r="B15" t="str">
            <v>Extended State Plan Service – Private Duty Nursing; per 15 minutes</v>
          </cell>
        </row>
        <row r="16">
          <cell r="A16" t="str">
            <v>T1005</v>
          </cell>
          <cell r="B16" t="str">
            <v>Respite care services; per 15 minutes</v>
          </cell>
        </row>
        <row r="17">
          <cell r="A17" t="str">
            <v>T1016</v>
          </cell>
          <cell r="B17" t="str">
            <v>Case management; per 15 minutes</v>
          </cell>
        </row>
        <row r="18">
          <cell r="A18" t="str">
            <v>T1019</v>
          </cell>
          <cell r="B18" t="str">
            <v>Personal attendant service, agency-based; per 15 minutes</v>
          </cell>
        </row>
        <row r="19">
          <cell r="A19" t="str">
            <v>T1021</v>
          </cell>
          <cell r="B19" t="str">
            <v>Supportive Maintenance, home health aide or Home Health Aide or Certif Nurse Assist, per Visit</v>
          </cell>
        </row>
        <row r="20">
          <cell r="A20" t="str">
            <v>T1027</v>
          </cell>
          <cell r="B20" t="str">
            <v>Family Training &amp; Counseling for child development; per 15 minutes</v>
          </cell>
        </row>
        <row r="21">
          <cell r="A21" t="str">
            <v>T2003</v>
          </cell>
          <cell r="B21" t="str">
            <v>Non-medical transportation, one way trip</v>
          </cell>
        </row>
        <row r="22">
          <cell r="A22" t="str">
            <v>T2016</v>
          </cell>
          <cell r="B22" t="str">
            <v>Adult Residential Services – (Licensed Assisted Living Facility, Memory Care Unit); per diem</v>
          </cell>
        </row>
        <row r="23">
          <cell r="A23" t="str">
            <v>T2017</v>
          </cell>
          <cell r="B23" t="str">
            <v>Habilitation Services; per diem</v>
          </cell>
          <cell r="C23">
            <v>25</v>
          </cell>
        </row>
        <row r="24">
          <cell r="A24" t="str">
            <v>T2031</v>
          </cell>
          <cell r="B24" t="str">
            <v>Adult Residential Services (Assisted Living Facilities Level I, Level II, &amp; Type N Facilities); per diem</v>
          </cell>
          <cell r="C24">
            <v>105</v>
          </cell>
        </row>
        <row r="25">
          <cell r="A25" t="str">
            <v>T2033</v>
          </cell>
          <cell r="B25" t="str">
            <v>Adult Residential Services – (Licensed Community Residential Care); per diem</v>
          </cell>
        </row>
        <row r="26">
          <cell r="A26" t="str">
            <v>T2040</v>
          </cell>
          <cell r="B26" t="str">
            <v>Financial Management Services; per 15 minutes</v>
          </cell>
        </row>
      </sheetData>
      <sheetData sheetId="7">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t="e">
            <v>#N/A</v>
          </cell>
        </row>
        <row r="7">
          <cell r="A7" t="str">
            <v>H0043</v>
          </cell>
          <cell r="B7" t="str">
            <v>Adult Residential Services – Certified Independent Living Facility; per diem</v>
          </cell>
          <cell r="C7" t="e">
            <v>#N/A</v>
          </cell>
        </row>
        <row r="8">
          <cell r="A8" t="str">
            <v>H0045</v>
          </cell>
          <cell r="B8" t="str">
            <v>Respite Care – Overnight, Out of Home, Room &amp; Board included or Respite Care Services – LTC facility; per diem</v>
          </cell>
          <cell r="C8" t="e">
            <v>#N/A</v>
          </cell>
        </row>
        <row r="9">
          <cell r="A9" t="str">
            <v>S5102</v>
          </cell>
          <cell r="B9" t="str">
            <v>Adult Day Care (Adult Day Health) or Adult day health services; per diem</v>
          </cell>
          <cell r="C9" t="e">
            <v>#N/A</v>
          </cell>
        </row>
        <row r="10">
          <cell r="A10" t="str">
            <v>S5125</v>
          </cell>
          <cell r="B10" t="str">
            <v>Attendant Care Services or Personal attendant service, participant employed; per 15 minutes</v>
          </cell>
          <cell r="C10">
            <v>8.42</v>
          </cell>
        </row>
        <row r="11">
          <cell r="A11" t="str">
            <v>S5130</v>
          </cell>
          <cell r="B11" t="str">
            <v>Homemaker services; per 15 minutes</v>
          </cell>
          <cell r="C11" t="e">
            <v>#N/A</v>
          </cell>
        </row>
        <row r="12">
          <cell r="A12" t="str">
            <v>S5135</v>
          </cell>
          <cell r="B12" t="str">
            <v>Companion care adult; per 15 minutes</v>
          </cell>
          <cell r="C12" t="e">
            <v>#N/A</v>
          </cell>
        </row>
        <row r="13">
          <cell r="A13" t="str">
            <v>S5150</v>
          </cell>
          <cell r="B13" t="str">
            <v>Respite care services or Respite care services – Unskilled; per 15 minutes</v>
          </cell>
          <cell r="C13" t="e">
            <v>#N/A</v>
          </cell>
        </row>
        <row r="14">
          <cell r="A14" t="str">
            <v>S5170</v>
          </cell>
          <cell r="B14" t="str">
            <v>Home Delivered Meals or Supplemental Meals (Liquid and Solid)</v>
          </cell>
          <cell r="C14" t="e">
            <v>#N/A</v>
          </cell>
        </row>
        <row r="15">
          <cell r="A15" t="str">
            <v>T1000</v>
          </cell>
          <cell r="B15" t="str">
            <v>Extended State Plan Service – Private Duty Nursing; per 15 minutes</v>
          </cell>
          <cell r="C15" t="e">
            <v>#N/A</v>
          </cell>
        </row>
        <row r="16">
          <cell r="A16" t="str">
            <v>T1005</v>
          </cell>
          <cell r="B16" t="str">
            <v>Respite care services; per 15 minutes</v>
          </cell>
          <cell r="C16">
            <v>3.38</v>
          </cell>
        </row>
        <row r="17">
          <cell r="A17" t="str">
            <v>T1016</v>
          </cell>
          <cell r="B17" t="str">
            <v>Case management; per 15 minutes</v>
          </cell>
          <cell r="C17" t="e">
            <v>#N/A</v>
          </cell>
        </row>
        <row r="18">
          <cell r="A18" t="str">
            <v>T1019</v>
          </cell>
          <cell r="B18" t="str">
            <v>Personal attendant service, agency-based; per 15 minutes</v>
          </cell>
          <cell r="C18" t="e">
            <v>#N/A</v>
          </cell>
        </row>
        <row r="19">
          <cell r="A19" t="str">
            <v>T1021</v>
          </cell>
          <cell r="B19" t="str">
            <v>Supportive Maintenance, home health aide or Home Health Aide or Certif Nurse Assist, per Visit</v>
          </cell>
          <cell r="C19" t="e">
            <v>#N/A</v>
          </cell>
        </row>
        <row r="20">
          <cell r="A20" t="str">
            <v>T1027</v>
          </cell>
          <cell r="B20" t="str">
            <v>Family Training &amp; Counseling for child development; per 15 minutes</v>
          </cell>
          <cell r="C20" t="e">
            <v>#N/A</v>
          </cell>
        </row>
        <row r="21">
          <cell r="A21" t="str">
            <v>T2003</v>
          </cell>
          <cell r="B21" t="str">
            <v>Non-medical transportation, one way trip</v>
          </cell>
          <cell r="C21" t="e">
            <v>#N/A</v>
          </cell>
        </row>
        <row r="22">
          <cell r="A22" t="str">
            <v>T2016</v>
          </cell>
          <cell r="B22" t="str">
            <v>Adult Residential Services – (Licensed Assisted Living Facility, Memory Care Unit); per diem</v>
          </cell>
          <cell r="C22">
            <v>221.54</v>
          </cell>
        </row>
        <row r="23">
          <cell r="A23" t="str">
            <v>T2017</v>
          </cell>
          <cell r="B23" t="str">
            <v>Habilitation Services; per diem</v>
          </cell>
          <cell r="C23" t="e">
            <v>#N/A</v>
          </cell>
        </row>
        <row r="24">
          <cell r="A24" t="str">
            <v>T2031</v>
          </cell>
          <cell r="B24" t="str">
            <v>Adult Residential Services (Assisted Living Facilities Level I, Level II, &amp; Type N Facilities); per diem</v>
          </cell>
          <cell r="C24" t="e">
            <v>#N/A</v>
          </cell>
        </row>
        <row r="25">
          <cell r="A25" t="str">
            <v>T2033</v>
          </cell>
          <cell r="B25" t="str">
            <v>Adult Residential Services – (Licensed Community Residential Care); per diem</v>
          </cell>
          <cell r="C25">
            <v>191.71</v>
          </cell>
        </row>
        <row r="26">
          <cell r="A26" t="str">
            <v>T2040</v>
          </cell>
          <cell r="B26" t="str">
            <v>Financial Management Services; per 15 minutes</v>
          </cell>
          <cell r="C26" t="e">
            <v>#N/A</v>
          </cell>
        </row>
      </sheetData>
      <sheetData sheetId="8">
        <row r="4">
          <cell r="A4" t="str">
            <v xml:space="preserve">Code </v>
          </cell>
          <cell r="B4" t="str">
            <v>Description1</v>
          </cell>
          <cell r="C4" t="str">
            <v xml:space="preserve">Rate </v>
          </cell>
        </row>
        <row r="5">
          <cell r="A5" t="str">
            <v>H0034</v>
          </cell>
          <cell r="B5" t="str">
            <v>Medication Administration – Medication Set-up; per 15 minutes</v>
          </cell>
          <cell r="C5" t="e">
            <v>#N/A</v>
          </cell>
        </row>
        <row r="6">
          <cell r="A6" t="str">
            <v>H0038</v>
          </cell>
          <cell r="B6" t="str">
            <v>Personal Budget Assistance; per 15 minutes</v>
          </cell>
          <cell r="C6" t="e">
            <v>#N/A</v>
          </cell>
        </row>
        <row r="7">
          <cell r="A7" t="str">
            <v>H0043</v>
          </cell>
          <cell r="B7" t="str">
            <v>Adult Residential Services – Certified Independent Living Facility; per diem</v>
          </cell>
          <cell r="C7" t="e">
            <v>#N/A</v>
          </cell>
        </row>
        <row r="8">
          <cell r="A8" t="str">
            <v>H0045</v>
          </cell>
          <cell r="B8" t="str">
            <v>Respite Care – Overnight, Out of Home, Room &amp; Board included or Respite Care Services – LTC facility; per diem</v>
          </cell>
          <cell r="C8">
            <v>185.09</v>
          </cell>
        </row>
        <row r="9">
          <cell r="A9" t="str">
            <v>S5102</v>
          </cell>
          <cell r="B9" t="str">
            <v>Adult Day Care (Adult Day Health) or Adult day health services; per diem</v>
          </cell>
          <cell r="C9" t="e">
            <v>#N/A</v>
          </cell>
        </row>
        <row r="10">
          <cell r="A10" t="str">
            <v>S5125</v>
          </cell>
          <cell r="B10" t="str">
            <v>Attendant Care Services or Personal attendant service, participant employed; per 15 minutes</v>
          </cell>
          <cell r="C10">
            <v>8.91</v>
          </cell>
        </row>
        <row r="11">
          <cell r="A11" t="str">
            <v>S5130</v>
          </cell>
          <cell r="B11" t="str">
            <v>Homemaker services; per 15 minutes</v>
          </cell>
          <cell r="C11">
            <v>6.49</v>
          </cell>
        </row>
        <row r="12">
          <cell r="A12" t="str">
            <v>S5135</v>
          </cell>
          <cell r="B12" t="str">
            <v>Companion care adult; per 15 minutes</v>
          </cell>
          <cell r="C12" t="e">
            <v>#N/A</v>
          </cell>
        </row>
        <row r="13">
          <cell r="A13" t="str">
            <v>S5150</v>
          </cell>
          <cell r="B13" t="str">
            <v>Respite care services or Respite care services – Unskilled; per 15 minutes</v>
          </cell>
          <cell r="C13">
            <v>10.36</v>
          </cell>
        </row>
        <row r="14">
          <cell r="A14" t="str">
            <v>S5170</v>
          </cell>
          <cell r="B14" t="str">
            <v>Home Delivered Meals or Supplemental Meals (Liquid and Solid)</v>
          </cell>
          <cell r="C14">
            <v>10.65</v>
          </cell>
        </row>
        <row r="15">
          <cell r="A15" t="str">
            <v>T1000</v>
          </cell>
          <cell r="B15" t="str">
            <v>Extended State Plan Service – Private Duty Nursing; per 15 minutes</v>
          </cell>
          <cell r="C15" t="e">
            <v>#N/A</v>
          </cell>
        </row>
        <row r="16">
          <cell r="A16" t="str">
            <v>T1005</v>
          </cell>
          <cell r="B16" t="str">
            <v>Respite care services; per 15 minutes</v>
          </cell>
          <cell r="C16" t="e">
            <v>#N/A</v>
          </cell>
        </row>
        <row r="17">
          <cell r="A17" t="str">
            <v>T1016</v>
          </cell>
          <cell r="B17" t="str">
            <v>Case management; per 15 minutes</v>
          </cell>
          <cell r="C17" t="e">
            <v>#N/A</v>
          </cell>
        </row>
        <row r="18">
          <cell r="A18" t="str">
            <v>T1019</v>
          </cell>
          <cell r="B18" t="str">
            <v>Personal attendant service, agency-based; per 15 minutes</v>
          </cell>
          <cell r="C18" t="e">
            <v>#N/A</v>
          </cell>
        </row>
        <row r="19">
          <cell r="A19" t="str">
            <v>T1021</v>
          </cell>
          <cell r="B19" t="str">
            <v>Supportive Maintenance, home health aide or Home Health Aide or Certif Nurse Assist, per Visit</v>
          </cell>
          <cell r="C19" t="e">
            <v>#N/A</v>
          </cell>
        </row>
        <row r="20">
          <cell r="A20" t="str">
            <v>T1027</v>
          </cell>
          <cell r="B20" t="str">
            <v>Family Training &amp; Counseling for child development; per 15 minutes</v>
          </cell>
          <cell r="C20" t="e">
            <v>#N/A</v>
          </cell>
        </row>
        <row r="21">
          <cell r="A21" t="str">
            <v>T2003</v>
          </cell>
          <cell r="B21" t="str">
            <v>Non-medical transportation, one way trip</v>
          </cell>
          <cell r="C21" t="str">
            <v>Variable</v>
          </cell>
        </row>
        <row r="22">
          <cell r="A22" t="str">
            <v>T2016</v>
          </cell>
          <cell r="B22" t="str">
            <v>Adult Residential Services – (Licensed Assisted Living Facility, Memory Care Unit); per diem</v>
          </cell>
          <cell r="C22" t="e">
            <v>#N/A</v>
          </cell>
        </row>
        <row r="23">
          <cell r="A23" t="str">
            <v>T2017</v>
          </cell>
          <cell r="B23" t="str">
            <v>Habilitation Services; per diem</v>
          </cell>
          <cell r="C23" t="e">
            <v>#N/A</v>
          </cell>
        </row>
        <row r="24">
          <cell r="A24" t="str">
            <v>T2031</v>
          </cell>
          <cell r="B24" t="str">
            <v>Adult Residential Services (Assisted Living Facilities Level I, Level II, &amp; Type N Facilities); per diem</v>
          </cell>
          <cell r="C24">
            <v>70.44</v>
          </cell>
        </row>
        <row r="25">
          <cell r="A25" t="str">
            <v>T2033</v>
          </cell>
          <cell r="B25" t="str">
            <v>Adult Residential Services – (Licensed Community Residential Care); per diem</v>
          </cell>
          <cell r="C25" t="e">
            <v>#N/A</v>
          </cell>
        </row>
        <row r="26">
          <cell r="A26" t="str">
            <v>T2040</v>
          </cell>
          <cell r="B26" t="str">
            <v>Financial Management Services; per 15 minutes</v>
          </cell>
          <cell r="C26" t="e">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workbookViewId="0">
      <selection activeCell="K26" sqref="K26"/>
    </sheetView>
  </sheetViews>
  <sheetFormatPr defaultRowHeight="15" x14ac:dyDescent="0.25"/>
  <cols>
    <col min="2" max="14" width="10.140625" customWidth="1"/>
  </cols>
  <sheetData>
    <row r="1" spans="1:14" ht="18.75" x14ac:dyDescent="0.3">
      <c r="A1" s="1" t="s">
        <v>24</v>
      </c>
    </row>
    <row r="2" spans="1:14" ht="15.75" x14ac:dyDescent="0.25">
      <c r="A2" s="3" t="s">
        <v>10</v>
      </c>
      <c r="B2" s="2"/>
      <c r="C2" s="2"/>
      <c r="D2" s="2"/>
      <c r="E2" s="2"/>
      <c r="F2" s="2"/>
      <c r="G2" s="2"/>
      <c r="H2" s="2"/>
    </row>
    <row r="3" spans="1:14" ht="15.75" x14ac:dyDescent="0.25">
      <c r="A3" s="10" t="s">
        <v>497</v>
      </c>
      <c r="B3" s="11"/>
      <c r="C3" s="11"/>
      <c r="D3" s="11"/>
      <c r="E3" s="11"/>
      <c r="F3" s="11"/>
      <c r="G3" s="2"/>
      <c r="H3" s="2"/>
    </row>
    <row r="4" spans="1:14" x14ac:dyDescent="0.25">
      <c r="A4" s="4" t="s">
        <v>11</v>
      </c>
      <c r="B4" s="2"/>
      <c r="C4" s="2"/>
      <c r="D4" s="2"/>
      <c r="E4" s="2"/>
      <c r="F4" s="2"/>
      <c r="G4" s="2"/>
      <c r="H4" s="2"/>
    </row>
    <row r="5" spans="1:14" x14ac:dyDescent="0.25">
      <c r="A5" s="2"/>
      <c r="B5" s="2"/>
      <c r="C5" s="2"/>
      <c r="D5" s="2"/>
      <c r="E5" s="2"/>
      <c r="F5" s="2"/>
      <c r="G5" s="2"/>
      <c r="H5" s="2"/>
    </row>
    <row r="6" spans="1:14" x14ac:dyDescent="0.25">
      <c r="A6" s="12" t="s">
        <v>12</v>
      </c>
      <c r="B6" s="190" t="s">
        <v>0</v>
      </c>
      <c r="C6" s="191"/>
      <c r="D6" s="191"/>
      <c r="E6" s="191"/>
      <c r="F6" s="191"/>
      <c r="G6" s="191"/>
      <c r="H6" s="191"/>
      <c r="I6" s="191"/>
      <c r="J6" s="191"/>
      <c r="K6" s="191"/>
      <c r="L6" s="191"/>
      <c r="M6" s="191"/>
      <c r="N6" s="192"/>
    </row>
    <row r="7" spans="1:14" x14ac:dyDescent="0.25">
      <c r="A7" s="9" t="s">
        <v>13</v>
      </c>
      <c r="B7" s="13" t="s">
        <v>11</v>
      </c>
      <c r="C7" s="14"/>
      <c r="D7" s="14"/>
      <c r="E7" s="14"/>
      <c r="F7" s="14"/>
      <c r="G7" s="14"/>
      <c r="H7" s="14"/>
      <c r="I7" s="14"/>
      <c r="J7" s="14"/>
      <c r="K7" s="14"/>
      <c r="L7" s="14"/>
      <c r="M7" s="14"/>
      <c r="N7" s="15"/>
    </row>
    <row r="8" spans="1:14" x14ac:dyDescent="0.25">
      <c r="A8" s="9" t="s">
        <v>14</v>
      </c>
      <c r="B8" s="142" t="s">
        <v>456</v>
      </c>
      <c r="C8" s="16"/>
      <c r="D8" s="16"/>
      <c r="E8" s="16"/>
      <c r="F8" s="16"/>
      <c r="G8" s="16"/>
      <c r="H8" s="16"/>
      <c r="I8" s="16"/>
      <c r="J8" s="16"/>
      <c r="K8" s="16"/>
      <c r="L8" s="16"/>
      <c r="M8" s="16"/>
      <c r="N8" s="17"/>
    </row>
    <row r="9" spans="1:14" ht="36" customHeight="1" x14ac:dyDescent="0.25">
      <c r="A9" s="154" t="s">
        <v>15</v>
      </c>
      <c r="B9" s="193" t="s">
        <v>498</v>
      </c>
      <c r="C9" s="194"/>
      <c r="D9" s="194"/>
      <c r="E9" s="194"/>
      <c r="F9" s="194"/>
      <c r="G9" s="194"/>
      <c r="H9" s="194"/>
      <c r="I9" s="194"/>
      <c r="J9" s="194"/>
      <c r="K9" s="194"/>
      <c r="L9" s="194"/>
      <c r="M9" s="194"/>
      <c r="N9" s="195"/>
    </row>
    <row r="10" spans="1:14" x14ac:dyDescent="0.25">
      <c r="A10" s="154" t="s">
        <v>491</v>
      </c>
      <c r="B10" s="155" t="s">
        <v>490</v>
      </c>
      <c r="C10" s="156"/>
      <c r="D10" s="156"/>
      <c r="E10" s="156"/>
      <c r="F10" s="156"/>
      <c r="G10" s="156"/>
      <c r="H10" s="156"/>
      <c r="I10" s="156"/>
      <c r="J10" s="156"/>
      <c r="K10" s="156"/>
      <c r="L10" s="156"/>
      <c r="M10" s="156"/>
      <c r="N10" s="157"/>
    </row>
    <row r="11" spans="1:14" x14ac:dyDescent="0.25">
      <c r="A11" s="158" t="s">
        <v>492</v>
      </c>
      <c r="B11" s="142" t="s">
        <v>522</v>
      </c>
      <c r="C11" s="159"/>
      <c r="D11" s="159"/>
      <c r="E11" s="159"/>
      <c r="F11" s="159"/>
      <c r="G11" s="159"/>
      <c r="H11" s="159"/>
      <c r="I11" s="159"/>
      <c r="J11" s="159"/>
      <c r="K11" s="159"/>
      <c r="L11" s="159"/>
      <c r="M11" s="159"/>
      <c r="N11" s="160"/>
    </row>
    <row r="12" spans="1:14" x14ac:dyDescent="0.25">
      <c r="A12" s="158" t="s">
        <v>493</v>
      </c>
      <c r="B12" s="142" t="s">
        <v>526</v>
      </c>
      <c r="C12" s="159"/>
      <c r="D12" s="159"/>
      <c r="E12" s="159"/>
      <c r="F12" s="159"/>
      <c r="G12" s="159"/>
      <c r="H12" s="159"/>
      <c r="I12" s="159"/>
      <c r="J12" s="159"/>
      <c r="K12" s="159"/>
      <c r="L12" s="159"/>
      <c r="M12" s="159"/>
      <c r="N12" s="160"/>
    </row>
    <row r="13" spans="1:14" x14ac:dyDescent="0.25">
      <c r="A13" s="158" t="s">
        <v>494</v>
      </c>
      <c r="B13" s="142" t="s">
        <v>523</v>
      </c>
      <c r="C13" s="159"/>
      <c r="D13" s="159"/>
      <c r="E13" s="159"/>
      <c r="F13" s="159"/>
      <c r="G13" s="159"/>
      <c r="H13" s="159"/>
      <c r="I13" s="159"/>
      <c r="J13" s="159"/>
      <c r="K13" s="159"/>
      <c r="L13" s="159"/>
      <c r="M13" s="159"/>
      <c r="N13" s="160"/>
    </row>
    <row r="14" spans="1:14" x14ac:dyDescent="0.25">
      <c r="A14" s="158" t="s">
        <v>495</v>
      </c>
      <c r="B14" s="142" t="s">
        <v>524</v>
      </c>
      <c r="C14" s="159"/>
      <c r="D14" s="159"/>
      <c r="E14" s="159"/>
      <c r="F14" s="159"/>
      <c r="G14" s="159"/>
      <c r="H14" s="159"/>
      <c r="I14" s="159"/>
      <c r="J14" s="159"/>
      <c r="K14" s="159"/>
      <c r="L14" s="159"/>
      <c r="M14" s="159"/>
      <c r="N14" s="160"/>
    </row>
    <row r="15" spans="1:14" x14ac:dyDescent="0.25">
      <c r="A15" s="158" t="s">
        <v>496</v>
      </c>
      <c r="B15" s="142" t="s">
        <v>521</v>
      </c>
      <c r="C15" s="159"/>
      <c r="D15" s="159"/>
      <c r="E15" s="159"/>
      <c r="F15" s="159"/>
      <c r="G15" s="159"/>
      <c r="H15" s="159"/>
      <c r="I15" s="159"/>
      <c r="J15" s="159"/>
      <c r="K15" s="159"/>
      <c r="L15" s="159"/>
      <c r="M15" s="159"/>
      <c r="N15" s="160"/>
    </row>
    <row r="16" spans="1:14" x14ac:dyDescent="0.25">
      <c r="A16" s="158" t="s">
        <v>519</v>
      </c>
      <c r="B16" s="142" t="s">
        <v>525</v>
      </c>
      <c r="C16" s="159"/>
      <c r="D16" s="159"/>
      <c r="E16" s="159"/>
      <c r="F16" s="159"/>
      <c r="G16" s="159"/>
      <c r="H16" s="159"/>
      <c r="I16" s="159"/>
      <c r="J16" s="159"/>
      <c r="K16" s="159"/>
      <c r="L16" s="159"/>
      <c r="M16" s="159"/>
      <c r="N16" s="160"/>
    </row>
    <row r="17" spans="1:14" x14ac:dyDescent="0.25">
      <c r="A17" s="158" t="s">
        <v>23</v>
      </c>
      <c r="B17" s="142" t="s">
        <v>520</v>
      </c>
      <c r="C17" s="16"/>
      <c r="D17" s="16"/>
      <c r="E17" s="16"/>
      <c r="F17" s="16"/>
      <c r="G17" s="16"/>
      <c r="H17" s="16"/>
      <c r="I17" s="16"/>
      <c r="J17" s="16"/>
      <c r="K17" s="16"/>
      <c r="L17" s="16"/>
      <c r="M17" s="16"/>
      <c r="N17" s="17"/>
    </row>
  </sheetData>
  <mergeCells count="2">
    <mergeCell ref="B6:N6"/>
    <mergeCell ref="B9:N9"/>
  </mergeCells>
  <pageMargins left="0.7" right="0.7" top="0.75" bottom="0.75" header="0.3" footer="0.3"/>
  <customProperties>
    <customPr name="OrphanNamesCheck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4"/>
  <sheetViews>
    <sheetView workbookViewId="0">
      <selection activeCell="A15" sqref="A15"/>
    </sheetView>
  </sheetViews>
  <sheetFormatPr defaultRowHeight="15" x14ac:dyDescent="0.25"/>
  <cols>
    <col min="1" max="1" width="15.28515625" customWidth="1"/>
    <col min="2" max="2" width="37.7109375" customWidth="1"/>
    <col min="3" max="3" width="10.5703125" bestFit="1" customWidth="1"/>
    <col min="4" max="4" width="68.5703125" customWidth="1"/>
    <col min="5" max="8" width="14.85546875" customWidth="1"/>
    <col min="9" max="9" width="14.140625" customWidth="1"/>
    <col min="10" max="10" width="12.28515625" customWidth="1"/>
    <col min="11" max="11" width="14.42578125" customWidth="1"/>
    <col min="12" max="12" width="15.140625" customWidth="1"/>
    <col min="13" max="13" width="14.28515625" bestFit="1" customWidth="1"/>
  </cols>
  <sheetData>
    <row r="1" spans="1:15" x14ac:dyDescent="0.25">
      <c r="A1" s="24" t="str">
        <f>Cover!A1</f>
        <v>Utah Department of Health &amp; Human Services, Office of Reimbursement, Coordinated Care &amp; Audit</v>
      </c>
      <c r="B1" s="24"/>
      <c r="C1" s="24"/>
      <c r="D1" s="24"/>
      <c r="E1" s="24"/>
      <c r="F1" s="24"/>
      <c r="G1" s="24"/>
      <c r="H1" s="24"/>
      <c r="I1" s="24"/>
      <c r="J1" s="24"/>
      <c r="K1" s="24"/>
      <c r="L1" s="24"/>
    </row>
    <row r="2" spans="1:15" x14ac:dyDescent="0.25">
      <c r="A2" s="24" t="str">
        <f>Cover!A2</f>
        <v>Medicaid Rate Study</v>
      </c>
      <c r="B2" s="24"/>
      <c r="C2" s="24"/>
      <c r="D2" s="24"/>
      <c r="E2" s="24"/>
      <c r="F2" s="24"/>
      <c r="G2" s="24"/>
      <c r="H2" s="24"/>
      <c r="I2" s="24"/>
      <c r="J2" s="24"/>
      <c r="K2" s="24"/>
      <c r="L2" s="24"/>
    </row>
    <row r="3" spans="1:15" x14ac:dyDescent="0.25">
      <c r="A3" s="24" t="str">
        <f>Cover!A3&amp;"-4e"</f>
        <v>2025 Home and Community Based Services (HCBS) - Exhibit A-4e</v>
      </c>
      <c r="B3" s="24"/>
      <c r="C3" s="24"/>
      <c r="D3" s="24"/>
      <c r="E3" s="24"/>
      <c r="F3" s="24"/>
      <c r="G3" s="24"/>
      <c r="H3" s="24"/>
      <c r="I3" s="24"/>
      <c r="J3" s="24"/>
      <c r="K3" s="24"/>
      <c r="L3" s="24"/>
    </row>
    <row r="4" spans="1:15" x14ac:dyDescent="0.25">
      <c r="A4" t="s">
        <v>424</v>
      </c>
    </row>
    <row r="7" spans="1:15" s="5" customFormat="1" x14ac:dyDescent="0.25">
      <c r="B7"/>
      <c r="C7"/>
      <c r="D7"/>
      <c r="E7"/>
      <c r="F7"/>
      <c r="G7"/>
      <c r="H7"/>
      <c r="I7"/>
      <c r="J7"/>
      <c r="K7"/>
      <c r="L7"/>
    </row>
    <row r="8" spans="1:15" s="8" customFormat="1" ht="30" customHeight="1" x14ac:dyDescent="0.25">
      <c r="A8" s="188"/>
      <c r="B8" s="162"/>
      <c r="C8" s="162"/>
      <c r="D8" s="162"/>
      <c r="E8" s="162"/>
      <c r="F8" s="162"/>
      <c r="G8" s="162"/>
      <c r="H8" s="162"/>
      <c r="I8" s="162"/>
      <c r="J8" s="162"/>
      <c r="K8" s="39"/>
      <c r="L8" s="39"/>
    </row>
    <row r="9" spans="1:15" ht="45.75" thickBot="1" x14ac:dyDescent="0.3">
      <c r="A9" s="6" t="s">
        <v>364</v>
      </c>
      <c r="B9" s="6" t="s">
        <v>30</v>
      </c>
      <c r="C9" s="6" t="s">
        <v>371</v>
      </c>
      <c r="D9" s="6" t="s">
        <v>0</v>
      </c>
      <c r="E9" s="6" t="s">
        <v>373</v>
      </c>
      <c r="F9" s="6" t="s">
        <v>416</v>
      </c>
      <c r="G9" s="6" t="s">
        <v>34</v>
      </c>
      <c r="H9" s="6" t="s">
        <v>417</v>
      </c>
      <c r="I9" s="6" t="s">
        <v>418</v>
      </c>
      <c r="J9" s="35" t="s">
        <v>419</v>
      </c>
      <c r="K9" s="6" t="s">
        <v>420</v>
      </c>
      <c r="L9" s="6" t="s">
        <v>377</v>
      </c>
    </row>
    <row r="10" spans="1:15" s="72" customFormat="1" x14ac:dyDescent="0.25">
      <c r="A10" s="43" t="s">
        <v>365</v>
      </c>
      <c r="B10" s="43" t="s">
        <v>123</v>
      </c>
      <c r="C10" s="36" t="s">
        <v>50</v>
      </c>
      <c r="D10" s="36" t="s">
        <v>421</v>
      </c>
      <c r="E10" s="36" t="s">
        <v>231</v>
      </c>
      <c r="F10" s="61">
        <v>23394</v>
      </c>
      <c r="G10" s="36">
        <v>1277343.49</v>
      </c>
      <c r="H10" s="36">
        <v>416603.69</v>
      </c>
      <c r="I10" s="36">
        <f>G10-H10</f>
        <v>860739.8</v>
      </c>
      <c r="J10" s="36">
        <f>I10/F10</f>
        <v>36.793186287082158</v>
      </c>
      <c r="K10" s="61">
        <v>3743.04</v>
      </c>
      <c r="L10" s="60">
        <f>J10*K10</f>
        <v>137718.36799999999</v>
      </c>
      <c r="M10" s="151"/>
      <c r="N10" s="72" t="s">
        <v>50</v>
      </c>
      <c r="O10" s="72">
        <f>AVERAGEIF($C$10:$C$82,N10,$J$10:$J$82)</f>
        <v>122.94079489378423</v>
      </c>
    </row>
    <row r="11" spans="1:15" s="72" customFormat="1" x14ac:dyDescent="0.25">
      <c r="A11" s="43" t="s">
        <v>365</v>
      </c>
      <c r="B11" s="43" t="s">
        <v>195</v>
      </c>
      <c r="C11" s="36" t="s">
        <v>50</v>
      </c>
      <c r="D11" s="36" t="s">
        <v>421</v>
      </c>
      <c r="E11" s="36" t="s">
        <v>231</v>
      </c>
      <c r="F11" s="61">
        <v>325</v>
      </c>
      <c r="G11" s="36">
        <v>16616</v>
      </c>
      <c r="H11" s="36">
        <v>14852</v>
      </c>
      <c r="I11" s="36">
        <f>G11-H11</f>
        <v>1764</v>
      </c>
      <c r="J11" s="36">
        <f>I11/F11</f>
        <v>5.4276923076923076</v>
      </c>
      <c r="K11" s="61">
        <v>325</v>
      </c>
      <c r="L11" s="60">
        <f>J11*K11</f>
        <v>1764</v>
      </c>
      <c r="M11" s="151"/>
      <c r="N11" s="72" t="s">
        <v>65</v>
      </c>
      <c r="O11" s="72">
        <f>AVERAGEIF($C$10:$C$82,N11,$J$10:$J$82)</f>
        <v>92.613827226966322</v>
      </c>
    </row>
    <row r="12" spans="1:15" s="72" customFormat="1" x14ac:dyDescent="0.25">
      <c r="A12" s="43" t="s">
        <v>365</v>
      </c>
      <c r="B12" s="43" t="s">
        <v>196</v>
      </c>
      <c r="C12" s="36" t="s">
        <v>50</v>
      </c>
      <c r="D12" s="36" t="s">
        <v>421</v>
      </c>
      <c r="E12" s="36" t="s">
        <v>231</v>
      </c>
      <c r="F12" s="61">
        <v>30</v>
      </c>
      <c r="G12" s="36">
        <v>12800</v>
      </c>
      <c r="H12" s="36">
        <v>1530</v>
      </c>
      <c r="I12" s="36">
        <f>G12-H12</f>
        <v>11270</v>
      </c>
      <c r="J12" s="36">
        <f>I12/F12</f>
        <v>375.66666666666669</v>
      </c>
      <c r="K12" s="61">
        <v>30</v>
      </c>
      <c r="L12" s="60">
        <f>J12*K12</f>
        <v>11270</v>
      </c>
      <c r="M12" s="151"/>
      <c r="N12" s="72" t="s">
        <v>67</v>
      </c>
      <c r="O12" s="72">
        <f>AVERAGEIF($C$10:$C$82,N12,$J$10:$J$82)</f>
        <v>82.86912380948354</v>
      </c>
    </row>
    <row r="13" spans="1:15" s="72" customFormat="1" x14ac:dyDescent="0.25">
      <c r="A13" s="43" t="s">
        <v>365</v>
      </c>
      <c r="B13" s="43" t="s">
        <v>105</v>
      </c>
      <c r="C13" s="36" t="s">
        <v>50</v>
      </c>
      <c r="D13" s="36" t="s">
        <v>421</v>
      </c>
      <c r="E13" s="36" t="s">
        <v>231</v>
      </c>
      <c r="F13" s="61">
        <v>3369</v>
      </c>
      <c r="G13" s="36">
        <v>626429</v>
      </c>
      <c r="H13" s="36">
        <v>245</v>
      </c>
      <c r="I13" s="36">
        <f>G13-H13</f>
        <v>626184</v>
      </c>
      <c r="J13" s="36">
        <f>I13/F13</f>
        <v>185.86642920747997</v>
      </c>
      <c r="K13" s="61">
        <v>3369</v>
      </c>
      <c r="L13" s="60">
        <f>J13*K13</f>
        <v>626184</v>
      </c>
      <c r="M13" s="151"/>
      <c r="N13" t="s">
        <v>68</v>
      </c>
      <c r="O13" s="72">
        <f>AVERAGEIF($C$10:$C$82,N13,$J$10:$J$82)</f>
        <v>77.76270859994564</v>
      </c>
    </row>
    <row r="14" spans="1:15" s="72" customFormat="1" x14ac:dyDescent="0.25">
      <c r="A14" s="43" t="s">
        <v>365</v>
      </c>
      <c r="B14" s="43" t="s">
        <v>439</v>
      </c>
      <c r="C14" s="36" t="s">
        <v>50</v>
      </c>
      <c r="D14" s="36" t="s">
        <v>421</v>
      </c>
      <c r="E14" s="36" t="s">
        <v>231</v>
      </c>
      <c r="F14" s="163"/>
      <c r="G14" s="163"/>
      <c r="H14" s="163"/>
      <c r="I14" s="163"/>
      <c r="J14" s="36">
        <v>10.95</v>
      </c>
      <c r="K14" s="163"/>
      <c r="L14" s="163"/>
      <c r="M14" s="151"/>
      <c r="N14"/>
    </row>
    <row r="15" spans="1:15" s="72" customFormat="1" x14ac:dyDescent="0.25">
      <c r="A15" s="43" t="s">
        <v>365</v>
      </c>
      <c r="B15" s="43" t="s">
        <v>122</v>
      </c>
      <c r="C15" s="36" t="s">
        <v>65</v>
      </c>
      <c r="D15" s="36" t="s">
        <v>422</v>
      </c>
      <c r="E15" s="36" t="s">
        <v>231</v>
      </c>
      <c r="F15" s="61">
        <v>11496</v>
      </c>
      <c r="G15" s="36">
        <v>1126399.1599999999</v>
      </c>
      <c r="H15" s="36">
        <v>205942.9</v>
      </c>
      <c r="I15" s="36">
        <f>G15-H15</f>
        <v>920456.25999999989</v>
      </c>
      <c r="J15" s="36">
        <f>I15/F15</f>
        <v>80.067524356297838</v>
      </c>
      <c r="K15" s="61">
        <v>2414</v>
      </c>
      <c r="L15" s="60">
        <f>J15*K15</f>
        <v>193283.00379610297</v>
      </c>
      <c r="M15" s="151"/>
      <c r="N15"/>
    </row>
    <row r="16" spans="1:15" s="72" customFormat="1" x14ac:dyDescent="0.25">
      <c r="A16" s="43" t="s">
        <v>365</v>
      </c>
      <c r="B16" s="43" t="s">
        <v>138</v>
      </c>
      <c r="C16" s="36" t="s">
        <v>65</v>
      </c>
      <c r="D16" s="36" t="s">
        <v>422</v>
      </c>
      <c r="E16" s="36" t="s">
        <v>231</v>
      </c>
      <c r="F16" s="61">
        <v>7405</v>
      </c>
      <c r="G16" s="36">
        <v>741896.02</v>
      </c>
      <c r="H16" s="36">
        <v>171875.75</v>
      </c>
      <c r="I16" s="36">
        <f>G16-H16</f>
        <v>570020.27</v>
      </c>
      <c r="J16" s="36">
        <f>I16/F16</f>
        <v>76.97775422012154</v>
      </c>
      <c r="K16" s="61">
        <v>698</v>
      </c>
      <c r="L16" s="60">
        <f>J16*K16</f>
        <v>53730.472445644831</v>
      </c>
      <c r="M16" s="151"/>
      <c r="N16"/>
    </row>
    <row r="17" spans="1:14" s="72" customFormat="1" x14ac:dyDescent="0.25">
      <c r="A17" s="43" t="s">
        <v>365</v>
      </c>
      <c r="B17" s="43" t="s">
        <v>153</v>
      </c>
      <c r="C17" s="36" t="s">
        <v>65</v>
      </c>
      <c r="D17" s="36" t="s">
        <v>422</v>
      </c>
      <c r="E17" s="36" t="s">
        <v>231</v>
      </c>
      <c r="F17" s="61">
        <v>13541</v>
      </c>
      <c r="G17" s="36">
        <v>10297373.85</v>
      </c>
      <c r="H17" s="36">
        <v>1264614.95</v>
      </c>
      <c r="I17" s="36">
        <f>G17-H17</f>
        <v>9032758.9000000004</v>
      </c>
      <c r="J17" s="36">
        <f>I17/F17</f>
        <v>667.06734362307066</v>
      </c>
      <c r="K17" s="61">
        <v>1590</v>
      </c>
      <c r="L17" s="60">
        <f>J17*K17</f>
        <v>1060637.0763606823</v>
      </c>
      <c r="M17" s="151"/>
      <c r="N17"/>
    </row>
    <row r="18" spans="1:14" s="72" customFormat="1" x14ac:dyDescent="0.25">
      <c r="A18" s="43" t="s">
        <v>365</v>
      </c>
      <c r="B18" s="43" t="s">
        <v>440</v>
      </c>
      <c r="C18" s="36" t="s">
        <v>65</v>
      </c>
      <c r="D18" s="36" t="s">
        <v>422</v>
      </c>
      <c r="E18" s="36" t="s">
        <v>231</v>
      </c>
      <c r="F18" s="163"/>
      <c r="G18" s="163"/>
      <c r="H18" s="163"/>
      <c r="I18" s="163"/>
      <c r="J18" s="36">
        <v>71.586115483880917</v>
      </c>
      <c r="K18" s="163"/>
      <c r="L18" s="163"/>
      <c r="M18" s="151"/>
      <c r="N18"/>
    </row>
    <row r="19" spans="1:14" s="72" customFormat="1" x14ac:dyDescent="0.25">
      <c r="A19" s="43" t="s">
        <v>365</v>
      </c>
      <c r="B19" s="43" t="s">
        <v>441</v>
      </c>
      <c r="C19" s="36" t="s">
        <v>65</v>
      </c>
      <c r="D19" s="36" t="s">
        <v>422</v>
      </c>
      <c r="E19" s="36" t="s">
        <v>231</v>
      </c>
      <c r="F19" s="163"/>
      <c r="G19" s="163"/>
      <c r="H19" s="163"/>
      <c r="I19" s="163"/>
      <c r="J19" s="36">
        <v>88.244037338489832</v>
      </c>
      <c r="K19" s="163"/>
      <c r="L19" s="163"/>
      <c r="M19" s="151"/>
      <c r="N19"/>
    </row>
    <row r="20" spans="1:14" s="72" customFormat="1" x14ac:dyDescent="0.25">
      <c r="A20" s="43" t="s">
        <v>365</v>
      </c>
      <c r="B20" s="43" t="s">
        <v>442</v>
      </c>
      <c r="C20" s="36" t="s">
        <v>65</v>
      </c>
      <c r="D20" s="36" t="s">
        <v>422</v>
      </c>
      <c r="E20" s="36" t="s">
        <v>231</v>
      </c>
      <c r="F20" s="163"/>
      <c r="G20" s="163"/>
      <c r="H20" s="163"/>
      <c r="I20" s="163"/>
      <c r="J20" s="36">
        <v>145.12754369595658</v>
      </c>
      <c r="K20" s="163"/>
      <c r="L20" s="163"/>
      <c r="M20" s="151"/>
      <c r="N20"/>
    </row>
    <row r="21" spans="1:14" s="72" customFormat="1" x14ac:dyDescent="0.25">
      <c r="A21" s="43" t="s">
        <v>365</v>
      </c>
      <c r="B21" s="43" t="s">
        <v>147</v>
      </c>
      <c r="C21" s="36" t="s">
        <v>65</v>
      </c>
      <c r="D21" s="36" t="s">
        <v>422</v>
      </c>
      <c r="E21" s="36" t="s">
        <v>231</v>
      </c>
      <c r="F21" s="163"/>
      <c r="G21" s="163"/>
      <c r="H21" s="163"/>
      <c r="I21" s="163"/>
      <c r="J21" s="36">
        <v>24.574205036056259</v>
      </c>
      <c r="K21" s="163"/>
      <c r="L21" s="163"/>
      <c r="M21" s="151"/>
      <c r="N21"/>
    </row>
    <row r="22" spans="1:14" s="72" customFormat="1" x14ac:dyDescent="0.25">
      <c r="A22" s="43" t="s">
        <v>365</v>
      </c>
      <c r="B22" s="43" t="s">
        <v>145</v>
      </c>
      <c r="C22" s="36" t="s">
        <v>65</v>
      </c>
      <c r="D22" s="36" t="s">
        <v>422</v>
      </c>
      <c r="E22" s="36" t="s">
        <v>231</v>
      </c>
      <c r="F22" s="163"/>
      <c r="G22" s="163"/>
      <c r="H22" s="163"/>
      <c r="I22" s="163"/>
      <c r="J22" s="36">
        <v>21.502057931960401</v>
      </c>
      <c r="K22" s="163"/>
      <c r="L22" s="163"/>
      <c r="M22" s="151"/>
      <c r="N22"/>
    </row>
    <row r="23" spans="1:14" s="72" customFormat="1" x14ac:dyDescent="0.25">
      <c r="A23" s="43" t="s">
        <v>365</v>
      </c>
      <c r="B23" s="43" t="s">
        <v>146</v>
      </c>
      <c r="C23" s="36" t="s">
        <v>65</v>
      </c>
      <c r="D23" s="36" t="s">
        <v>422</v>
      </c>
      <c r="E23" s="36" t="s">
        <v>231</v>
      </c>
      <c r="F23" s="163"/>
      <c r="G23" s="163"/>
      <c r="H23" s="163"/>
      <c r="I23" s="163"/>
      <c r="J23" s="36">
        <v>17.340570312883084</v>
      </c>
      <c r="K23" s="163"/>
      <c r="L23" s="163"/>
      <c r="M23" s="151"/>
      <c r="N23"/>
    </row>
    <row r="24" spans="1:14" s="72" customFormat="1" x14ac:dyDescent="0.25">
      <c r="A24" s="43" t="s">
        <v>365</v>
      </c>
      <c r="B24" s="43" t="s">
        <v>151</v>
      </c>
      <c r="C24" s="36" t="s">
        <v>65</v>
      </c>
      <c r="D24" s="36" t="s">
        <v>422</v>
      </c>
      <c r="E24" s="36" t="s">
        <v>231</v>
      </c>
      <c r="F24" s="163"/>
      <c r="G24" s="163"/>
      <c r="H24" s="163"/>
      <c r="I24" s="163"/>
      <c r="J24" s="36">
        <v>32.498401328566388</v>
      </c>
      <c r="K24" s="163"/>
      <c r="L24" s="163"/>
      <c r="M24" s="151"/>
      <c r="N24"/>
    </row>
    <row r="25" spans="1:14" s="72" customFormat="1" x14ac:dyDescent="0.25">
      <c r="A25" s="43" t="s">
        <v>365</v>
      </c>
      <c r="B25" s="43" t="s">
        <v>443</v>
      </c>
      <c r="C25" s="36" t="s">
        <v>65</v>
      </c>
      <c r="D25" s="36" t="s">
        <v>422</v>
      </c>
      <c r="E25" s="36" t="s">
        <v>231</v>
      </c>
      <c r="F25" s="163"/>
      <c r="G25" s="163"/>
      <c r="H25" s="163"/>
      <c r="I25" s="163"/>
      <c r="J25" s="36">
        <v>22.861765145987103</v>
      </c>
      <c r="K25" s="163"/>
      <c r="L25" s="163"/>
      <c r="M25" s="151"/>
      <c r="N25"/>
    </row>
    <row r="26" spans="1:14" s="72" customFormat="1" x14ac:dyDescent="0.25">
      <c r="A26" s="43" t="s">
        <v>365</v>
      </c>
      <c r="B26" s="43" t="s">
        <v>150</v>
      </c>
      <c r="C26" s="36" t="s">
        <v>65</v>
      </c>
      <c r="D26" s="36" t="s">
        <v>422</v>
      </c>
      <c r="E26" s="36" t="s">
        <v>231</v>
      </c>
      <c r="F26" s="163"/>
      <c r="G26" s="163"/>
      <c r="H26" s="163"/>
      <c r="I26" s="163"/>
      <c r="J26" s="36">
        <v>18.070647369853774</v>
      </c>
      <c r="K26" s="163"/>
      <c r="L26" s="163"/>
      <c r="M26" s="151"/>
      <c r="N26"/>
    </row>
    <row r="27" spans="1:14" s="72" customFormat="1" x14ac:dyDescent="0.25">
      <c r="A27" s="43" t="s">
        <v>365</v>
      </c>
      <c r="B27" s="43" t="s">
        <v>77</v>
      </c>
      <c r="C27" s="36" t="s">
        <v>65</v>
      </c>
      <c r="D27" s="36" t="s">
        <v>422</v>
      </c>
      <c r="E27" s="36" t="s">
        <v>231</v>
      </c>
      <c r="F27" s="163"/>
      <c r="G27" s="163"/>
      <c r="H27" s="163"/>
      <c r="I27" s="163"/>
      <c r="J27" s="36">
        <v>24.307708249505882</v>
      </c>
      <c r="K27" s="163"/>
      <c r="L27" s="163"/>
      <c r="M27" s="151"/>
      <c r="N27"/>
    </row>
    <row r="28" spans="1:14" s="72" customFormat="1" x14ac:dyDescent="0.25">
      <c r="A28" s="43" t="s">
        <v>365</v>
      </c>
      <c r="B28" s="43" t="s">
        <v>444</v>
      </c>
      <c r="C28" s="36" t="s">
        <v>65</v>
      </c>
      <c r="D28" s="36" t="s">
        <v>422</v>
      </c>
      <c r="E28" s="36" t="s">
        <v>231</v>
      </c>
      <c r="F28" s="163"/>
      <c r="G28" s="163"/>
      <c r="H28" s="163"/>
      <c r="I28" s="163"/>
      <c r="J28" s="36">
        <v>131.06312555950927</v>
      </c>
      <c r="K28" s="163"/>
      <c r="L28" s="163"/>
      <c r="M28" s="151"/>
      <c r="N28"/>
    </row>
    <row r="29" spans="1:14" s="72" customFormat="1" x14ac:dyDescent="0.25">
      <c r="A29" s="43" t="s">
        <v>365</v>
      </c>
      <c r="B29" s="43" t="s">
        <v>445</v>
      </c>
      <c r="C29" s="36" t="s">
        <v>65</v>
      </c>
      <c r="D29" s="36" t="s">
        <v>422</v>
      </c>
      <c r="E29" s="36" t="s">
        <v>231</v>
      </c>
      <c r="F29" s="163"/>
      <c r="G29" s="163"/>
      <c r="H29" s="163"/>
      <c r="I29" s="163"/>
      <c r="J29" s="36">
        <v>40.901443804662264</v>
      </c>
      <c r="K29" s="163"/>
      <c r="L29" s="163"/>
      <c r="M29" s="151"/>
      <c r="N29"/>
    </row>
    <row r="30" spans="1:14" s="72" customFormat="1" x14ac:dyDescent="0.25">
      <c r="A30" s="43" t="s">
        <v>365</v>
      </c>
      <c r="B30" s="43" t="s">
        <v>116</v>
      </c>
      <c r="C30" s="36" t="s">
        <v>65</v>
      </c>
      <c r="D30" s="36" t="s">
        <v>422</v>
      </c>
      <c r="E30" s="36" t="s">
        <v>231</v>
      </c>
      <c r="F30" s="163"/>
      <c r="G30" s="163"/>
      <c r="H30" s="163"/>
      <c r="I30" s="163"/>
      <c r="J30" s="36">
        <v>57.817387524704685</v>
      </c>
      <c r="K30" s="163"/>
      <c r="L30" s="163"/>
      <c r="M30" s="151"/>
      <c r="N30"/>
    </row>
    <row r="31" spans="1:14" s="72" customFormat="1" x14ac:dyDescent="0.25">
      <c r="A31" s="43" t="s">
        <v>365</v>
      </c>
      <c r="B31" s="43" t="s">
        <v>429</v>
      </c>
      <c r="C31" s="36" t="s">
        <v>65</v>
      </c>
      <c r="D31" s="36" t="s">
        <v>422</v>
      </c>
      <c r="E31" s="36" t="s">
        <v>231</v>
      </c>
      <c r="F31" s="163"/>
      <c r="G31" s="163"/>
      <c r="H31" s="163"/>
      <c r="I31" s="163"/>
      <c r="J31" s="36">
        <v>54.427431876920899</v>
      </c>
      <c r="K31" s="163"/>
      <c r="L31" s="163"/>
      <c r="M31" s="151"/>
      <c r="N31"/>
    </row>
    <row r="32" spans="1:14" s="72" customFormat="1" x14ac:dyDescent="0.25">
      <c r="A32" s="43" t="s">
        <v>365</v>
      </c>
      <c r="B32" s="43" t="s">
        <v>78</v>
      </c>
      <c r="C32" s="36" t="s">
        <v>67</v>
      </c>
      <c r="D32" s="36" t="s">
        <v>228</v>
      </c>
      <c r="E32" s="36" t="s">
        <v>231</v>
      </c>
      <c r="F32" s="61">
        <v>4930</v>
      </c>
      <c r="G32" s="36">
        <v>701357</v>
      </c>
      <c r="H32" s="36">
        <v>24220</v>
      </c>
      <c r="I32" s="36">
        <f t="shared" ref="I32:I59" si="0">G32-H32</f>
        <v>677137</v>
      </c>
      <c r="J32" s="36">
        <f t="shared" ref="J32:J59" si="1">I32/F32</f>
        <v>137.3503042596349</v>
      </c>
      <c r="K32" s="61">
        <v>803</v>
      </c>
      <c r="L32" s="60">
        <f t="shared" ref="L32:L59" si="2">J32*K32</f>
        <v>110292.29432048682</v>
      </c>
      <c r="M32" s="151"/>
      <c r="N32"/>
    </row>
    <row r="33" spans="1:14" s="72" customFormat="1" x14ac:dyDescent="0.25">
      <c r="A33" s="43" t="s">
        <v>365</v>
      </c>
      <c r="B33" s="43" t="s">
        <v>81</v>
      </c>
      <c r="C33" s="36" t="s">
        <v>67</v>
      </c>
      <c r="D33" s="36" t="s">
        <v>228</v>
      </c>
      <c r="E33" s="36" t="s">
        <v>231</v>
      </c>
      <c r="F33" s="61">
        <v>8400</v>
      </c>
      <c r="G33" s="36">
        <v>843000</v>
      </c>
      <c r="H33" s="36">
        <v>54590</v>
      </c>
      <c r="I33" s="36">
        <f t="shared" si="0"/>
        <v>788410</v>
      </c>
      <c r="J33" s="36">
        <f t="shared" si="1"/>
        <v>93.858333333333334</v>
      </c>
      <c r="K33" s="61">
        <v>365</v>
      </c>
      <c r="L33" s="60">
        <f t="shared" si="2"/>
        <v>34258.291666666664</v>
      </c>
      <c r="M33" s="151"/>
      <c r="N33"/>
    </row>
    <row r="34" spans="1:14" s="72" customFormat="1" x14ac:dyDescent="0.25">
      <c r="A34" s="43" t="s">
        <v>365</v>
      </c>
      <c r="B34" s="43" t="s">
        <v>84</v>
      </c>
      <c r="C34" s="36" t="s">
        <v>67</v>
      </c>
      <c r="D34" s="36" t="s">
        <v>228</v>
      </c>
      <c r="E34" s="36" t="s">
        <v>231</v>
      </c>
      <c r="F34" s="61">
        <v>2920</v>
      </c>
      <c r="G34" s="36">
        <v>258172</v>
      </c>
      <c r="H34" s="36">
        <v>203500</v>
      </c>
      <c r="I34" s="36">
        <f t="shared" si="0"/>
        <v>54672</v>
      </c>
      <c r="J34" s="36">
        <f t="shared" si="1"/>
        <v>18.723287671232878</v>
      </c>
      <c r="K34" s="61">
        <v>2555</v>
      </c>
      <c r="L34" s="60">
        <f t="shared" si="2"/>
        <v>47838.000000000007</v>
      </c>
      <c r="M34" s="151"/>
      <c r="N34"/>
    </row>
    <row r="35" spans="1:14" s="72" customFormat="1" x14ac:dyDescent="0.25">
      <c r="A35" s="43" t="s">
        <v>365</v>
      </c>
      <c r="B35" s="43" t="s">
        <v>94</v>
      </c>
      <c r="C35" s="36" t="s">
        <v>67</v>
      </c>
      <c r="D35" s="36" t="s">
        <v>228</v>
      </c>
      <c r="E35" s="36" t="s">
        <v>231</v>
      </c>
      <c r="F35" s="61">
        <v>19994</v>
      </c>
      <c r="G35" s="36">
        <v>1785138</v>
      </c>
      <c r="H35" s="36">
        <v>721620</v>
      </c>
      <c r="I35" s="36">
        <f t="shared" si="0"/>
        <v>1063518</v>
      </c>
      <c r="J35" s="36">
        <f t="shared" si="1"/>
        <v>53.191857557267177</v>
      </c>
      <c r="K35" s="61">
        <v>8360</v>
      </c>
      <c r="L35" s="60">
        <f t="shared" si="2"/>
        <v>444683.92917875358</v>
      </c>
      <c r="M35" s="151"/>
      <c r="N35"/>
    </row>
    <row r="36" spans="1:14" s="72" customFormat="1" x14ac:dyDescent="0.25">
      <c r="A36" s="43" t="s">
        <v>365</v>
      </c>
      <c r="B36" s="43" t="s">
        <v>100</v>
      </c>
      <c r="C36" s="36" t="s">
        <v>67</v>
      </c>
      <c r="D36" s="36" t="s">
        <v>228</v>
      </c>
      <c r="E36" s="36" t="s">
        <v>231</v>
      </c>
      <c r="F36" s="61">
        <v>9994</v>
      </c>
      <c r="G36" s="36">
        <v>1109956</v>
      </c>
      <c r="H36" s="36">
        <v>373893</v>
      </c>
      <c r="I36" s="36">
        <f t="shared" si="0"/>
        <v>736063</v>
      </c>
      <c r="J36" s="36">
        <f t="shared" si="1"/>
        <v>73.650490294176507</v>
      </c>
      <c r="K36" s="61">
        <v>1577</v>
      </c>
      <c r="L36" s="60">
        <f t="shared" si="2"/>
        <v>116146.82319391635</v>
      </c>
      <c r="M36" s="151"/>
      <c r="N36"/>
    </row>
    <row r="37" spans="1:14" s="72" customFormat="1" x14ac:dyDescent="0.25">
      <c r="A37" s="43" t="s">
        <v>365</v>
      </c>
      <c r="B37" s="43" t="s">
        <v>101</v>
      </c>
      <c r="C37" s="36" t="s">
        <v>67</v>
      </c>
      <c r="D37" s="36" t="s">
        <v>228</v>
      </c>
      <c r="E37" s="36" t="s">
        <v>231</v>
      </c>
      <c r="F37" s="61">
        <v>18841</v>
      </c>
      <c r="G37" s="36">
        <v>2552064</v>
      </c>
      <c r="H37" s="36">
        <v>395638</v>
      </c>
      <c r="I37" s="36">
        <f t="shared" si="0"/>
        <v>2156426</v>
      </c>
      <c r="J37" s="36">
        <f t="shared" si="1"/>
        <v>114.4539037206093</v>
      </c>
      <c r="K37" s="61">
        <v>8322</v>
      </c>
      <c r="L37" s="60">
        <f t="shared" si="2"/>
        <v>952485.38676291064</v>
      </c>
      <c r="M37" s="151"/>
      <c r="N37"/>
    </row>
    <row r="38" spans="1:14" s="72" customFormat="1" x14ac:dyDescent="0.25">
      <c r="A38" s="43" t="s">
        <v>365</v>
      </c>
      <c r="B38" s="43" t="s">
        <v>102</v>
      </c>
      <c r="C38" s="36" t="s">
        <v>67</v>
      </c>
      <c r="D38" s="36" t="s">
        <v>228</v>
      </c>
      <c r="E38" s="36" t="s">
        <v>231</v>
      </c>
      <c r="F38" s="61">
        <v>18897</v>
      </c>
      <c r="G38" s="36">
        <v>2063367</v>
      </c>
      <c r="H38" s="36">
        <v>807848</v>
      </c>
      <c r="I38" s="36">
        <f t="shared" si="0"/>
        <v>1255519</v>
      </c>
      <c r="J38" s="36">
        <f t="shared" si="1"/>
        <v>66.440122770810177</v>
      </c>
      <c r="K38" s="61">
        <v>13236</v>
      </c>
      <c r="L38" s="60">
        <f t="shared" si="2"/>
        <v>879401.46499444346</v>
      </c>
      <c r="M38" s="151"/>
      <c r="N38"/>
    </row>
    <row r="39" spans="1:14" s="72" customFormat="1" x14ac:dyDescent="0.25">
      <c r="A39" s="43" t="s">
        <v>365</v>
      </c>
      <c r="B39" s="43" t="s">
        <v>103</v>
      </c>
      <c r="C39" s="36" t="s">
        <v>67</v>
      </c>
      <c r="D39" s="36" t="s">
        <v>228</v>
      </c>
      <c r="E39" s="36" t="s">
        <v>231</v>
      </c>
      <c r="F39" s="61">
        <v>13920</v>
      </c>
      <c r="G39" s="36">
        <v>1577906</v>
      </c>
      <c r="H39" s="36">
        <v>250262</v>
      </c>
      <c r="I39" s="36">
        <f t="shared" si="0"/>
        <v>1327644</v>
      </c>
      <c r="J39" s="36">
        <f t="shared" si="1"/>
        <v>95.376724137931035</v>
      </c>
      <c r="K39" s="61">
        <v>5394</v>
      </c>
      <c r="L39" s="60">
        <f t="shared" si="2"/>
        <v>514462.05</v>
      </c>
      <c r="M39" s="151"/>
      <c r="N39"/>
    </row>
    <row r="40" spans="1:14" s="72" customFormat="1" x14ac:dyDescent="0.25">
      <c r="A40" s="43" t="s">
        <v>365</v>
      </c>
      <c r="B40" s="43" t="s">
        <v>107</v>
      </c>
      <c r="C40" s="36" t="s">
        <v>67</v>
      </c>
      <c r="D40" s="36" t="s">
        <v>228</v>
      </c>
      <c r="E40" s="36" t="s">
        <v>231</v>
      </c>
      <c r="F40" s="61">
        <v>23310</v>
      </c>
      <c r="G40" s="36">
        <v>1909598</v>
      </c>
      <c r="H40" s="36">
        <v>471707</v>
      </c>
      <c r="I40" s="36">
        <f t="shared" si="0"/>
        <v>1437891</v>
      </c>
      <c r="J40" s="36">
        <f t="shared" si="1"/>
        <v>61.685585585585585</v>
      </c>
      <c r="K40" s="61">
        <v>12587</v>
      </c>
      <c r="L40" s="60">
        <f t="shared" si="2"/>
        <v>776436.46576576575</v>
      </c>
      <c r="M40" s="151"/>
      <c r="N40"/>
    </row>
    <row r="41" spans="1:14" s="72" customFormat="1" x14ac:dyDescent="0.25">
      <c r="A41" s="43" t="s">
        <v>365</v>
      </c>
      <c r="B41" s="43" t="s">
        <v>110</v>
      </c>
      <c r="C41" s="36" t="s">
        <v>67</v>
      </c>
      <c r="D41" s="36" t="s">
        <v>228</v>
      </c>
      <c r="E41" s="36" t="s">
        <v>231</v>
      </c>
      <c r="F41" s="61">
        <v>3161</v>
      </c>
      <c r="G41" s="36">
        <v>316589</v>
      </c>
      <c r="H41" s="36">
        <v>83943</v>
      </c>
      <c r="I41" s="36">
        <f t="shared" si="0"/>
        <v>232646</v>
      </c>
      <c r="J41" s="36">
        <f t="shared" si="1"/>
        <v>73.598861119898771</v>
      </c>
      <c r="K41" s="61">
        <v>2155</v>
      </c>
      <c r="L41" s="60">
        <f t="shared" si="2"/>
        <v>158605.54571338184</v>
      </c>
      <c r="M41" s="151"/>
      <c r="N41"/>
    </row>
    <row r="42" spans="1:14" s="72" customFormat="1" x14ac:dyDescent="0.25">
      <c r="A42" s="43" t="s">
        <v>365</v>
      </c>
      <c r="B42" s="43" t="s">
        <v>116</v>
      </c>
      <c r="C42" s="36" t="s">
        <v>67</v>
      </c>
      <c r="D42" s="36" t="s">
        <v>228</v>
      </c>
      <c r="E42" s="36" t="s">
        <v>231</v>
      </c>
      <c r="F42" s="61">
        <v>10851</v>
      </c>
      <c r="G42" s="36">
        <v>1232609.79</v>
      </c>
      <c r="H42" s="36">
        <v>62274.130000000005</v>
      </c>
      <c r="I42" s="36">
        <f t="shared" si="0"/>
        <v>1170335.6600000001</v>
      </c>
      <c r="J42" s="36">
        <f t="shared" si="1"/>
        <v>107.85509722606213</v>
      </c>
      <c r="K42" s="61">
        <v>4449</v>
      </c>
      <c r="L42" s="60">
        <f t="shared" si="2"/>
        <v>479847.3275587504</v>
      </c>
      <c r="M42" s="151"/>
      <c r="N42"/>
    </row>
    <row r="43" spans="1:14" x14ac:dyDescent="0.25">
      <c r="A43" s="43" t="s">
        <v>365</v>
      </c>
      <c r="B43" s="43" t="s">
        <v>119</v>
      </c>
      <c r="C43" s="36" t="s">
        <v>67</v>
      </c>
      <c r="D43" s="36" t="s">
        <v>228</v>
      </c>
      <c r="E43" s="36" t="s">
        <v>231</v>
      </c>
      <c r="F43" s="61">
        <v>19338.349999999999</v>
      </c>
      <c r="G43" s="36">
        <v>2161154.37</v>
      </c>
      <c r="H43" s="36">
        <v>323461.46999999997</v>
      </c>
      <c r="I43" s="36">
        <f t="shared" si="0"/>
        <v>1837692.9000000001</v>
      </c>
      <c r="J43" s="36">
        <f t="shared" si="1"/>
        <v>95.028422797187986</v>
      </c>
      <c r="K43" s="61">
        <v>1933.84</v>
      </c>
      <c r="L43" s="60">
        <f t="shared" si="2"/>
        <v>183769.76514211402</v>
      </c>
      <c r="M43" s="151"/>
    </row>
    <row r="44" spans="1:14" x14ac:dyDescent="0.25">
      <c r="A44" s="43" t="s">
        <v>365</v>
      </c>
      <c r="B44" s="43" t="s">
        <v>121</v>
      </c>
      <c r="C44" s="36" t="s">
        <v>67</v>
      </c>
      <c r="D44" s="36" t="s">
        <v>228</v>
      </c>
      <c r="E44" s="36" t="s">
        <v>231</v>
      </c>
      <c r="F44" s="61">
        <v>19607</v>
      </c>
      <c r="G44" s="36">
        <v>1544894.28</v>
      </c>
      <c r="H44" s="36">
        <v>259637.93</v>
      </c>
      <c r="I44" s="36">
        <f t="shared" si="0"/>
        <v>1285256.3500000001</v>
      </c>
      <c r="J44" s="36">
        <f t="shared" si="1"/>
        <v>65.550892538379159</v>
      </c>
      <c r="K44" s="61">
        <v>19607</v>
      </c>
      <c r="L44" s="60">
        <f t="shared" si="2"/>
        <v>1285256.3500000001</v>
      </c>
      <c r="M44" s="151"/>
    </row>
    <row r="45" spans="1:14" x14ac:dyDescent="0.25">
      <c r="A45" s="43" t="s">
        <v>365</v>
      </c>
      <c r="B45" s="43" t="s">
        <v>127</v>
      </c>
      <c r="C45" s="36" t="s">
        <v>67</v>
      </c>
      <c r="D45" s="36" t="s">
        <v>228</v>
      </c>
      <c r="E45" s="36" t="s">
        <v>231</v>
      </c>
      <c r="F45" s="61">
        <v>308877</v>
      </c>
      <c r="G45" s="36">
        <v>3853004.72</v>
      </c>
      <c r="H45" s="36">
        <v>2839382.47</v>
      </c>
      <c r="I45" s="36">
        <f t="shared" si="0"/>
        <v>1013622.25</v>
      </c>
      <c r="J45" s="36">
        <f t="shared" si="1"/>
        <v>3.2816371889133862</v>
      </c>
      <c r="K45" s="61">
        <v>410</v>
      </c>
      <c r="L45" s="60">
        <f t="shared" si="2"/>
        <v>1345.4712474544883</v>
      </c>
      <c r="M45" s="151"/>
    </row>
    <row r="46" spans="1:14" x14ac:dyDescent="0.25">
      <c r="A46" s="43" t="s">
        <v>365</v>
      </c>
      <c r="B46" s="43" t="s">
        <v>128</v>
      </c>
      <c r="C46" s="36" t="s">
        <v>67</v>
      </c>
      <c r="D46" s="36" t="s">
        <v>228</v>
      </c>
      <c r="E46" s="36" t="s">
        <v>231</v>
      </c>
      <c r="F46" s="61">
        <v>21406</v>
      </c>
      <c r="G46" s="36">
        <v>2720157.63</v>
      </c>
      <c r="H46" s="36">
        <v>1717486.36</v>
      </c>
      <c r="I46" s="36">
        <f t="shared" si="0"/>
        <v>1002671.2699999998</v>
      </c>
      <c r="J46" s="36">
        <f t="shared" si="1"/>
        <v>46.840664766887777</v>
      </c>
      <c r="K46" s="61">
        <v>365</v>
      </c>
      <c r="L46" s="60">
        <f t="shared" si="2"/>
        <v>17096.842639914037</v>
      </c>
      <c r="M46" s="151"/>
    </row>
    <row r="47" spans="1:14" ht="15.75" thickBot="1" x14ac:dyDescent="0.3">
      <c r="A47" s="43" t="s">
        <v>460</v>
      </c>
      <c r="B47" s="38" t="s">
        <v>130</v>
      </c>
      <c r="C47" s="36" t="s">
        <v>67</v>
      </c>
      <c r="D47" s="36" t="s">
        <v>228</v>
      </c>
      <c r="E47" s="36" t="s">
        <v>231</v>
      </c>
      <c r="F47" s="164">
        <v>12385</v>
      </c>
      <c r="G47" s="166">
        <v>1858474.96</v>
      </c>
      <c r="H47" s="168">
        <v>747057.73</v>
      </c>
      <c r="I47" s="168">
        <f t="shared" si="0"/>
        <v>1111417.23</v>
      </c>
      <c r="J47" s="36">
        <f t="shared" si="1"/>
        <v>89.738976988292293</v>
      </c>
      <c r="K47" s="164">
        <v>730</v>
      </c>
      <c r="L47" s="170">
        <f t="shared" si="2"/>
        <v>65509.453201453376</v>
      </c>
      <c r="M47" s="151"/>
    </row>
    <row r="48" spans="1:14" ht="15.75" thickBot="1" x14ac:dyDescent="0.3">
      <c r="A48" s="43" t="s">
        <v>460</v>
      </c>
      <c r="B48" s="38" t="s">
        <v>132</v>
      </c>
      <c r="C48" s="36" t="s">
        <v>67</v>
      </c>
      <c r="D48" s="36" t="s">
        <v>228</v>
      </c>
      <c r="E48" s="36" t="s">
        <v>231</v>
      </c>
      <c r="F48" s="164">
        <v>34164</v>
      </c>
      <c r="G48" s="166">
        <v>3509129.51</v>
      </c>
      <c r="H48" s="168">
        <v>2080677.6900000002</v>
      </c>
      <c r="I48" s="168">
        <f t="shared" si="0"/>
        <v>1428451.8199999996</v>
      </c>
      <c r="J48" s="36">
        <f t="shared" si="1"/>
        <v>41.811609296335313</v>
      </c>
      <c r="K48" s="164">
        <v>437</v>
      </c>
      <c r="L48" s="170">
        <f t="shared" si="2"/>
        <v>18271.673262498531</v>
      </c>
      <c r="M48" s="151"/>
    </row>
    <row r="49" spans="1:13" ht="15.75" thickBot="1" x14ac:dyDescent="0.3">
      <c r="A49" s="43" t="s">
        <v>460</v>
      </c>
      <c r="B49" s="38" t="s">
        <v>133</v>
      </c>
      <c r="C49" s="36" t="s">
        <v>67</v>
      </c>
      <c r="D49" s="36" t="s">
        <v>228</v>
      </c>
      <c r="E49" s="36" t="s">
        <v>231</v>
      </c>
      <c r="F49" s="164">
        <v>31924</v>
      </c>
      <c r="G49" s="166">
        <v>3396974.67</v>
      </c>
      <c r="H49" s="168">
        <v>2013638.6500000001</v>
      </c>
      <c r="I49" s="168">
        <f t="shared" si="0"/>
        <v>1383336.0199999998</v>
      </c>
      <c r="J49" s="36">
        <f t="shared" si="1"/>
        <v>43.332164515724841</v>
      </c>
      <c r="K49" s="164">
        <v>2226</v>
      </c>
      <c r="L49" s="170">
        <f t="shared" si="2"/>
        <v>96457.398212003493</v>
      </c>
      <c r="M49" s="151"/>
    </row>
    <row r="50" spans="1:13" ht="15.75" thickBot="1" x14ac:dyDescent="0.3">
      <c r="A50" s="43" t="s">
        <v>460</v>
      </c>
      <c r="B50" s="38" t="s">
        <v>152</v>
      </c>
      <c r="C50" s="36" t="s">
        <v>67</v>
      </c>
      <c r="D50" s="36" t="s">
        <v>228</v>
      </c>
      <c r="E50" s="36" t="s">
        <v>231</v>
      </c>
      <c r="F50" s="164">
        <v>56248</v>
      </c>
      <c r="G50" s="166">
        <v>3210007.68</v>
      </c>
      <c r="H50" s="168">
        <v>1858076.4000000001</v>
      </c>
      <c r="I50" s="168">
        <f t="shared" si="0"/>
        <v>1351931.28</v>
      </c>
      <c r="J50" s="36">
        <f t="shared" si="1"/>
        <v>24.035188451144929</v>
      </c>
      <c r="K50" s="164">
        <v>1783</v>
      </c>
      <c r="L50" s="170">
        <f t="shared" si="2"/>
        <v>42854.741008391407</v>
      </c>
      <c r="M50" s="151"/>
    </row>
    <row r="51" spans="1:13" ht="15.75" thickBot="1" x14ac:dyDescent="0.3">
      <c r="A51" s="43" t="s">
        <v>460</v>
      </c>
      <c r="B51" s="38" t="s">
        <v>163</v>
      </c>
      <c r="C51" s="36" t="s">
        <v>67</v>
      </c>
      <c r="D51" s="36" t="s">
        <v>228</v>
      </c>
      <c r="E51" s="36" t="s">
        <v>231</v>
      </c>
      <c r="F51" s="164">
        <v>4696</v>
      </c>
      <c r="G51" s="166">
        <v>489578</v>
      </c>
      <c r="H51" s="168">
        <v>102979</v>
      </c>
      <c r="I51" s="168">
        <f t="shared" si="0"/>
        <v>386599</v>
      </c>
      <c r="J51" s="36">
        <f t="shared" si="1"/>
        <v>82.325170357751276</v>
      </c>
      <c r="K51" s="164">
        <v>1640</v>
      </c>
      <c r="L51" s="170">
        <f t="shared" si="2"/>
        <v>135013.27938671209</v>
      </c>
      <c r="M51" s="151"/>
    </row>
    <row r="52" spans="1:13" ht="15.75" thickBot="1" x14ac:dyDescent="0.3">
      <c r="A52" s="43" t="s">
        <v>460</v>
      </c>
      <c r="B52" s="38" t="s">
        <v>170</v>
      </c>
      <c r="C52" s="36" t="s">
        <v>67</v>
      </c>
      <c r="D52" s="36" t="s">
        <v>228</v>
      </c>
      <c r="E52" s="36" t="s">
        <v>231</v>
      </c>
      <c r="F52" s="164">
        <v>5840</v>
      </c>
      <c r="G52" s="166">
        <v>678274</v>
      </c>
      <c r="H52" s="168">
        <v>226639</v>
      </c>
      <c r="I52" s="168">
        <f t="shared" si="0"/>
        <v>451635</v>
      </c>
      <c r="J52" s="36">
        <f t="shared" si="1"/>
        <v>77.334760273972606</v>
      </c>
      <c r="K52" s="164">
        <v>2555</v>
      </c>
      <c r="L52" s="170">
        <f t="shared" si="2"/>
        <v>197590.3125</v>
      </c>
      <c r="M52" s="151"/>
    </row>
    <row r="53" spans="1:13" ht="15.75" thickBot="1" x14ac:dyDescent="0.3">
      <c r="A53" s="43" t="s">
        <v>460</v>
      </c>
      <c r="B53" s="38" t="s">
        <v>185</v>
      </c>
      <c r="C53" s="36" t="s">
        <v>67</v>
      </c>
      <c r="D53" s="36" t="s">
        <v>228</v>
      </c>
      <c r="E53" s="36" t="s">
        <v>231</v>
      </c>
      <c r="F53" s="164">
        <v>8988</v>
      </c>
      <c r="G53" s="166">
        <v>821045.57</v>
      </c>
      <c r="H53" s="168">
        <v>330885.09999999998</v>
      </c>
      <c r="I53" s="168">
        <f t="shared" si="0"/>
        <v>490160.47</v>
      </c>
      <c r="J53" s="36">
        <f t="shared" si="1"/>
        <v>54.534987761459718</v>
      </c>
      <c r="K53" s="164">
        <v>2962</v>
      </c>
      <c r="L53" s="170">
        <f t="shared" si="2"/>
        <v>161532.63374944369</v>
      </c>
      <c r="M53" s="151"/>
    </row>
    <row r="54" spans="1:13" ht="15.75" thickBot="1" x14ac:dyDescent="0.3">
      <c r="A54" s="43" t="s">
        <v>460</v>
      </c>
      <c r="B54" s="38" t="s">
        <v>186</v>
      </c>
      <c r="C54" s="36" t="s">
        <v>67</v>
      </c>
      <c r="D54" s="36" t="s">
        <v>228</v>
      </c>
      <c r="E54" s="36" t="s">
        <v>231</v>
      </c>
      <c r="F54" s="164">
        <v>5835</v>
      </c>
      <c r="G54" s="166">
        <v>506613.57</v>
      </c>
      <c r="H54" s="168">
        <v>147105.13</v>
      </c>
      <c r="I54" s="168">
        <f t="shared" si="0"/>
        <v>359508.44</v>
      </c>
      <c r="J54" s="36">
        <f t="shared" si="1"/>
        <v>61.612414738646102</v>
      </c>
      <c r="K54" s="164">
        <v>362</v>
      </c>
      <c r="L54" s="170">
        <f t="shared" si="2"/>
        <v>22303.694135389887</v>
      </c>
      <c r="M54" s="151"/>
    </row>
    <row r="55" spans="1:13" ht="15.75" thickBot="1" x14ac:dyDescent="0.3">
      <c r="A55" s="43" t="s">
        <v>460</v>
      </c>
      <c r="B55" s="38" t="s">
        <v>200</v>
      </c>
      <c r="C55" s="36" t="s">
        <v>67</v>
      </c>
      <c r="D55" s="36" t="s">
        <v>228</v>
      </c>
      <c r="E55" s="36" t="s">
        <v>231</v>
      </c>
      <c r="F55" s="164">
        <v>2974</v>
      </c>
      <c r="G55" s="166">
        <v>573262</v>
      </c>
      <c r="H55" s="168">
        <v>319508</v>
      </c>
      <c r="I55" s="168">
        <f t="shared" si="0"/>
        <v>253754</v>
      </c>
      <c r="J55" s="36">
        <f t="shared" si="1"/>
        <v>85.324142568930739</v>
      </c>
      <c r="K55" s="164">
        <v>2824</v>
      </c>
      <c r="L55" s="170">
        <f t="shared" si="2"/>
        <v>240955.37861466041</v>
      </c>
      <c r="M55" s="151"/>
    </row>
    <row r="56" spans="1:13" ht="15.75" thickBot="1" x14ac:dyDescent="0.3">
      <c r="A56" s="43" t="s">
        <v>460</v>
      </c>
      <c r="B56" s="38" t="s">
        <v>201</v>
      </c>
      <c r="C56" s="36" t="s">
        <v>67</v>
      </c>
      <c r="D56" s="36" t="s">
        <v>228</v>
      </c>
      <c r="E56" s="36" t="s">
        <v>231</v>
      </c>
      <c r="F56" s="164">
        <v>3946</v>
      </c>
      <c r="G56" s="166">
        <v>521650</v>
      </c>
      <c r="H56" s="168">
        <v>236208</v>
      </c>
      <c r="I56" s="168">
        <f t="shared" si="0"/>
        <v>285442</v>
      </c>
      <c r="J56" s="36">
        <f t="shared" si="1"/>
        <v>72.337050177394829</v>
      </c>
      <c r="K56" s="164">
        <v>3706</v>
      </c>
      <c r="L56" s="170">
        <f t="shared" si="2"/>
        <v>268081.10795742524</v>
      </c>
      <c r="M56" s="151"/>
    </row>
    <row r="57" spans="1:13" ht="15.75" thickBot="1" x14ac:dyDescent="0.3">
      <c r="A57" s="43" t="s">
        <v>460</v>
      </c>
      <c r="B57" s="38" t="s">
        <v>207</v>
      </c>
      <c r="C57" s="36" t="s">
        <v>67</v>
      </c>
      <c r="D57" s="36" t="s">
        <v>228</v>
      </c>
      <c r="E57" s="36" t="s">
        <v>231</v>
      </c>
      <c r="F57" s="164">
        <v>365</v>
      </c>
      <c r="G57" s="166">
        <v>362649</v>
      </c>
      <c r="H57" s="168">
        <v>256492</v>
      </c>
      <c r="I57" s="168">
        <f t="shared" si="0"/>
        <v>106157</v>
      </c>
      <c r="J57" s="36">
        <f t="shared" si="1"/>
        <v>290.84109589041094</v>
      </c>
      <c r="K57" s="164">
        <v>365</v>
      </c>
      <c r="L57" s="170">
        <f t="shared" si="2"/>
        <v>106157</v>
      </c>
      <c r="M57" s="151"/>
    </row>
    <row r="58" spans="1:13" ht="15.75" thickBot="1" x14ac:dyDescent="0.3">
      <c r="A58" s="43" t="s">
        <v>460</v>
      </c>
      <c r="B58" s="38" t="s">
        <v>208</v>
      </c>
      <c r="C58" s="36" t="s">
        <v>67</v>
      </c>
      <c r="D58" s="36" t="s">
        <v>228</v>
      </c>
      <c r="E58" s="36" t="s">
        <v>231</v>
      </c>
      <c r="F58" s="164">
        <v>365</v>
      </c>
      <c r="G58" s="166">
        <v>296712</v>
      </c>
      <c r="H58" s="168">
        <v>57880</v>
      </c>
      <c r="I58" s="168">
        <f t="shared" si="0"/>
        <v>238832</v>
      </c>
      <c r="J58" s="36">
        <f t="shared" si="1"/>
        <v>654.33424657534249</v>
      </c>
      <c r="K58" s="164">
        <v>365</v>
      </c>
      <c r="L58" s="170">
        <f t="shared" si="2"/>
        <v>238832</v>
      </c>
      <c r="M58" s="151"/>
    </row>
    <row r="59" spans="1:13" ht="15.75" thickBot="1" x14ac:dyDescent="0.3">
      <c r="A59" s="43" t="s">
        <v>460</v>
      </c>
      <c r="B59" s="38" t="s">
        <v>141</v>
      </c>
      <c r="C59" s="36" t="s">
        <v>67</v>
      </c>
      <c r="D59" s="36" t="s">
        <v>228</v>
      </c>
      <c r="E59" s="36" t="s">
        <v>231</v>
      </c>
      <c r="F59" s="164">
        <v>185</v>
      </c>
      <c r="G59" s="166">
        <v>63912.7</v>
      </c>
      <c r="H59" s="168">
        <v>45855.91</v>
      </c>
      <c r="I59" s="168">
        <f t="shared" si="0"/>
        <v>18056.789999999994</v>
      </c>
      <c r="J59" s="36">
        <f t="shared" si="1"/>
        <v>97.604270270270234</v>
      </c>
      <c r="K59" s="164">
        <v>185</v>
      </c>
      <c r="L59" s="170">
        <f t="shared" si="2"/>
        <v>18056.789999999994</v>
      </c>
      <c r="M59" s="151"/>
    </row>
    <row r="60" spans="1:13" ht="15.75" thickBot="1" x14ac:dyDescent="0.3">
      <c r="A60" s="43" t="s">
        <v>460</v>
      </c>
      <c r="B60" s="38" t="s">
        <v>446</v>
      </c>
      <c r="C60" s="36" t="s">
        <v>67</v>
      </c>
      <c r="D60" s="36" t="s">
        <v>228</v>
      </c>
      <c r="E60" s="36" t="s">
        <v>231</v>
      </c>
      <c r="F60" s="126"/>
      <c r="G60" s="128"/>
      <c r="H60" s="129"/>
      <c r="I60" s="129"/>
      <c r="J60" s="36">
        <v>46.944665820942092</v>
      </c>
      <c r="K60" s="126"/>
      <c r="L60" s="126"/>
      <c r="M60" s="151"/>
    </row>
    <row r="61" spans="1:13" ht="15.75" thickBot="1" x14ac:dyDescent="0.3">
      <c r="A61" s="43" t="s">
        <v>460</v>
      </c>
      <c r="B61" s="38" t="s">
        <v>447</v>
      </c>
      <c r="C61" s="36" t="s">
        <v>67</v>
      </c>
      <c r="D61" s="36" t="s">
        <v>228</v>
      </c>
      <c r="E61" s="36" t="s">
        <v>231</v>
      </c>
      <c r="F61" s="126"/>
      <c r="G61" s="128"/>
      <c r="H61" s="129"/>
      <c r="I61" s="129"/>
      <c r="J61" s="36">
        <v>50.467377207995725</v>
      </c>
      <c r="K61" s="126"/>
      <c r="L61" s="126"/>
      <c r="M61" s="151"/>
    </row>
    <row r="62" spans="1:13" ht="15.75" thickBot="1" x14ac:dyDescent="0.3">
      <c r="A62" s="43" t="s">
        <v>460</v>
      </c>
      <c r="B62" s="38" t="s">
        <v>441</v>
      </c>
      <c r="C62" s="36" t="s">
        <v>67</v>
      </c>
      <c r="D62" s="36" t="s">
        <v>228</v>
      </c>
      <c r="E62" s="36" t="s">
        <v>231</v>
      </c>
      <c r="F62" s="126"/>
      <c r="G62" s="128"/>
      <c r="H62" s="129"/>
      <c r="I62" s="129"/>
      <c r="J62" s="36">
        <v>130.96509755325874</v>
      </c>
      <c r="K62" s="126"/>
      <c r="L62" s="126"/>
      <c r="M62" s="151"/>
    </row>
    <row r="63" spans="1:13" ht="15.75" thickBot="1" x14ac:dyDescent="0.3">
      <c r="A63" s="43" t="s">
        <v>460</v>
      </c>
      <c r="B63" s="38" t="s">
        <v>442</v>
      </c>
      <c r="C63" s="36" t="s">
        <v>67</v>
      </c>
      <c r="D63" s="36" t="s">
        <v>228</v>
      </c>
      <c r="E63" s="36" t="s">
        <v>231</v>
      </c>
      <c r="F63" s="126"/>
      <c r="G63" s="128"/>
      <c r="H63" s="129"/>
      <c r="I63" s="129"/>
      <c r="J63" s="36">
        <v>84.240009071108403</v>
      </c>
      <c r="K63" s="126"/>
      <c r="L63" s="126"/>
      <c r="M63" s="151"/>
    </row>
    <row r="64" spans="1:13" ht="15.75" thickBot="1" x14ac:dyDescent="0.3">
      <c r="A64" s="43" t="s">
        <v>460</v>
      </c>
      <c r="B64" s="38" t="s">
        <v>158</v>
      </c>
      <c r="C64" s="36" t="s">
        <v>67</v>
      </c>
      <c r="D64" s="36" t="s">
        <v>228</v>
      </c>
      <c r="E64" s="36" t="s">
        <v>231</v>
      </c>
      <c r="F64" s="126"/>
      <c r="G64" s="128"/>
      <c r="H64" s="129"/>
      <c r="I64" s="129"/>
      <c r="J64" s="36">
        <v>47.476214681113476</v>
      </c>
      <c r="K64" s="126"/>
      <c r="L64" s="126"/>
      <c r="M64" s="151"/>
    </row>
    <row r="65" spans="1:13" ht="15.75" thickBot="1" x14ac:dyDescent="0.3">
      <c r="A65" s="43" t="s">
        <v>460</v>
      </c>
      <c r="B65" s="38" t="s">
        <v>448</v>
      </c>
      <c r="C65" s="36" t="s">
        <v>67</v>
      </c>
      <c r="D65" s="36" t="s">
        <v>228</v>
      </c>
      <c r="E65" s="36" t="s">
        <v>231</v>
      </c>
      <c r="F65" s="126"/>
      <c r="G65" s="128"/>
      <c r="H65" s="129"/>
      <c r="I65" s="129"/>
      <c r="J65" s="36">
        <v>99.497722392009152</v>
      </c>
      <c r="K65" s="126"/>
      <c r="L65" s="126"/>
      <c r="M65" s="151"/>
    </row>
    <row r="66" spans="1:13" ht="15.75" thickBot="1" x14ac:dyDescent="0.3">
      <c r="A66" s="43" t="s">
        <v>460</v>
      </c>
      <c r="B66" s="38" t="s">
        <v>147</v>
      </c>
      <c r="C66" s="36" t="s">
        <v>67</v>
      </c>
      <c r="D66" s="36" t="s">
        <v>228</v>
      </c>
      <c r="E66" s="36" t="s">
        <v>231</v>
      </c>
      <c r="F66" s="126"/>
      <c r="G66" s="128"/>
      <c r="H66" s="129"/>
      <c r="I66" s="129"/>
      <c r="J66" s="36">
        <v>61.76923952384773</v>
      </c>
      <c r="K66" s="126"/>
      <c r="L66" s="126"/>
      <c r="M66" s="151"/>
    </row>
    <row r="67" spans="1:13" ht="15.75" thickBot="1" x14ac:dyDescent="0.3">
      <c r="A67" s="43" t="s">
        <v>460</v>
      </c>
      <c r="B67" s="38" t="s">
        <v>145</v>
      </c>
      <c r="C67" s="36" t="s">
        <v>67</v>
      </c>
      <c r="D67" s="36" t="s">
        <v>228</v>
      </c>
      <c r="E67" s="36" t="s">
        <v>231</v>
      </c>
      <c r="F67" s="126"/>
      <c r="G67" s="128"/>
      <c r="H67" s="129"/>
      <c r="I67" s="129"/>
      <c r="J67" s="36">
        <v>17.906280089829885</v>
      </c>
      <c r="K67" s="126"/>
      <c r="L67" s="126"/>
      <c r="M67" s="151"/>
    </row>
    <row r="68" spans="1:13" ht="15.75" thickBot="1" x14ac:dyDescent="0.3">
      <c r="A68" s="43" t="s">
        <v>460</v>
      </c>
      <c r="B68" s="38" t="s">
        <v>146</v>
      </c>
      <c r="C68" s="36" t="s">
        <v>67</v>
      </c>
      <c r="D68" s="36" t="s">
        <v>228</v>
      </c>
      <c r="E68" s="36" t="s">
        <v>231</v>
      </c>
      <c r="F68" s="126"/>
      <c r="G68" s="128"/>
      <c r="H68" s="129"/>
      <c r="I68" s="129"/>
      <c r="J68" s="36">
        <v>29.545707405702185</v>
      </c>
      <c r="K68" s="126"/>
      <c r="L68" s="126"/>
      <c r="M68" s="151"/>
    </row>
    <row r="69" spans="1:13" ht="15.75" thickBot="1" x14ac:dyDescent="0.3">
      <c r="A69" s="43" t="s">
        <v>460</v>
      </c>
      <c r="B69" s="38" t="s">
        <v>151</v>
      </c>
      <c r="C69" s="36" t="s">
        <v>67</v>
      </c>
      <c r="D69" s="36" t="s">
        <v>228</v>
      </c>
      <c r="E69" s="36" t="s">
        <v>231</v>
      </c>
      <c r="F69" s="126"/>
      <c r="G69" s="128"/>
      <c r="H69" s="129"/>
      <c r="I69" s="129"/>
      <c r="J69" s="36">
        <v>48.884089181850733</v>
      </c>
      <c r="K69" s="126"/>
      <c r="L69" s="126"/>
      <c r="M69" s="151"/>
    </row>
    <row r="70" spans="1:13" ht="15.75" thickBot="1" x14ac:dyDescent="0.3">
      <c r="A70" s="43" t="s">
        <v>460</v>
      </c>
      <c r="B70" s="38" t="s">
        <v>443</v>
      </c>
      <c r="C70" s="36" t="s">
        <v>67</v>
      </c>
      <c r="D70" s="36" t="s">
        <v>228</v>
      </c>
      <c r="E70" s="36" t="s">
        <v>231</v>
      </c>
      <c r="F70" s="126"/>
      <c r="G70" s="128"/>
      <c r="H70" s="129"/>
      <c r="I70" s="129"/>
      <c r="J70" s="36">
        <v>46.616903145538529</v>
      </c>
      <c r="K70" s="126"/>
      <c r="L70" s="126"/>
      <c r="M70" s="151"/>
    </row>
    <row r="71" spans="1:13" ht="15.75" thickBot="1" x14ac:dyDescent="0.3">
      <c r="A71" s="43" t="s">
        <v>460</v>
      </c>
      <c r="B71" s="38" t="s">
        <v>150</v>
      </c>
      <c r="C71" s="36" t="s">
        <v>67</v>
      </c>
      <c r="D71" s="36" t="s">
        <v>228</v>
      </c>
      <c r="E71" s="36" t="s">
        <v>231</v>
      </c>
      <c r="F71" s="126"/>
      <c r="G71" s="128"/>
      <c r="H71" s="129"/>
      <c r="I71" s="129"/>
      <c r="J71" s="36">
        <v>30.201567724024294</v>
      </c>
      <c r="K71" s="126"/>
      <c r="L71" s="126"/>
      <c r="M71" s="151"/>
    </row>
    <row r="72" spans="1:13" ht="15.75" thickBot="1" x14ac:dyDescent="0.3">
      <c r="A72" s="43" t="s">
        <v>460</v>
      </c>
      <c r="B72" s="38" t="s">
        <v>449</v>
      </c>
      <c r="C72" s="36" t="s">
        <v>67</v>
      </c>
      <c r="D72" s="36" t="s">
        <v>228</v>
      </c>
      <c r="E72" s="36" t="s">
        <v>231</v>
      </c>
      <c r="F72" s="126"/>
      <c r="G72" s="128"/>
      <c r="H72" s="129"/>
      <c r="I72" s="129"/>
      <c r="J72" s="36">
        <v>42.570595055646898</v>
      </c>
      <c r="K72" s="126"/>
      <c r="L72" s="126"/>
      <c r="M72" s="151"/>
    </row>
    <row r="73" spans="1:13" ht="15.75" thickBot="1" x14ac:dyDescent="0.3">
      <c r="A73" s="43" t="s">
        <v>460</v>
      </c>
      <c r="B73" s="38" t="s">
        <v>77</v>
      </c>
      <c r="C73" s="36" t="s">
        <v>67</v>
      </c>
      <c r="D73" s="36" t="s">
        <v>228</v>
      </c>
      <c r="E73" s="36" t="s">
        <v>231</v>
      </c>
      <c r="F73" s="126"/>
      <c r="G73" s="128"/>
      <c r="H73" s="129"/>
      <c r="I73" s="129"/>
      <c r="J73" s="36">
        <v>42.985267037918135</v>
      </c>
      <c r="K73" s="126"/>
      <c r="L73" s="126"/>
      <c r="M73" s="151"/>
    </row>
    <row r="74" spans="1:13" ht="15.75" thickBot="1" x14ac:dyDescent="0.3">
      <c r="A74" s="43" t="s">
        <v>460</v>
      </c>
      <c r="B74" s="38" t="s">
        <v>450</v>
      </c>
      <c r="C74" s="36" t="s">
        <v>67</v>
      </c>
      <c r="D74" s="36" t="s">
        <v>228</v>
      </c>
      <c r="E74" s="36" t="s">
        <v>231</v>
      </c>
      <c r="F74" s="126"/>
      <c r="G74" s="128"/>
      <c r="H74" s="129"/>
      <c r="I74" s="129"/>
      <c r="J74" s="36">
        <v>180.03571767458601</v>
      </c>
      <c r="K74" s="126"/>
      <c r="L74" s="126"/>
      <c r="M74" s="151"/>
    </row>
    <row r="75" spans="1:13" ht="15.75" thickBot="1" x14ac:dyDescent="0.3">
      <c r="A75" s="43" t="s">
        <v>460</v>
      </c>
      <c r="B75" s="38" t="s">
        <v>445</v>
      </c>
      <c r="C75" s="36" t="s">
        <v>67</v>
      </c>
      <c r="D75" s="36" t="s">
        <v>228</v>
      </c>
      <c r="E75" s="36" t="s">
        <v>231</v>
      </c>
      <c r="F75" s="126"/>
      <c r="G75" s="128"/>
      <c r="H75" s="129"/>
      <c r="I75" s="129"/>
      <c r="J75" s="36">
        <v>40.901443804662264</v>
      </c>
      <c r="K75" s="126"/>
      <c r="L75" s="126"/>
      <c r="M75" s="151"/>
    </row>
    <row r="76" spans="1:13" ht="15.75" thickBot="1" x14ac:dyDescent="0.3">
      <c r="A76" s="43" t="s">
        <v>460</v>
      </c>
      <c r="B76" s="38" t="s">
        <v>451</v>
      </c>
      <c r="C76" s="36" t="s">
        <v>67</v>
      </c>
      <c r="D76" s="36" t="s">
        <v>228</v>
      </c>
      <c r="E76" s="36" t="s">
        <v>231</v>
      </c>
      <c r="F76" s="126"/>
      <c r="G76" s="128"/>
      <c r="H76" s="129"/>
      <c r="I76" s="129"/>
      <c r="J76" s="36">
        <v>40.578461180598396</v>
      </c>
      <c r="K76" s="126"/>
      <c r="L76" s="126"/>
      <c r="M76" s="151"/>
    </row>
    <row r="77" spans="1:13" ht="15.75" thickBot="1" x14ac:dyDescent="0.3">
      <c r="A77" s="43" t="s">
        <v>460</v>
      </c>
      <c r="B77" s="38" t="s">
        <v>113</v>
      </c>
      <c r="C77" s="36" t="s">
        <v>67</v>
      </c>
      <c r="D77" s="36" t="s">
        <v>228</v>
      </c>
      <c r="E77" s="36" t="s">
        <v>231</v>
      </c>
      <c r="F77" s="126"/>
      <c r="G77" s="128"/>
      <c r="H77" s="129"/>
      <c r="I77" s="129"/>
      <c r="J77" s="36">
        <v>44.382511709152944</v>
      </c>
      <c r="K77" s="126"/>
      <c r="L77" s="126"/>
      <c r="M77" s="151"/>
    </row>
    <row r="78" spans="1:13" ht="15.75" thickBot="1" x14ac:dyDescent="0.3">
      <c r="A78" s="43" t="s">
        <v>460</v>
      </c>
      <c r="B78" s="38" t="s">
        <v>452</v>
      </c>
      <c r="C78" s="36" t="s">
        <v>67</v>
      </c>
      <c r="D78" s="36" t="s">
        <v>228</v>
      </c>
      <c r="E78" s="36" t="s">
        <v>231</v>
      </c>
      <c r="F78" s="126"/>
      <c r="G78" s="128"/>
      <c r="H78" s="129"/>
      <c r="I78" s="129"/>
      <c r="J78" s="36">
        <v>104.21069899215628</v>
      </c>
      <c r="K78" s="126"/>
      <c r="L78" s="126"/>
      <c r="M78" s="151"/>
    </row>
    <row r="79" spans="1:13" ht="15.75" thickBot="1" x14ac:dyDescent="0.3">
      <c r="A79" s="43" t="s">
        <v>460</v>
      </c>
      <c r="B79" s="38" t="s">
        <v>429</v>
      </c>
      <c r="C79" s="36" t="s">
        <v>67</v>
      </c>
      <c r="D79" s="36" t="s">
        <v>228</v>
      </c>
      <c r="E79" s="36" t="s">
        <v>231</v>
      </c>
      <c r="F79" s="126"/>
      <c r="G79" s="128"/>
      <c r="H79" s="129"/>
      <c r="I79" s="129"/>
      <c r="J79" s="36">
        <v>54.427431876920899</v>
      </c>
      <c r="K79" s="126"/>
      <c r="L79" s="126"/>
      <c r="M79" s="151"/>
    </row>
    <row r="80" spans="1:13" ht="15.75" thickBot="1" x14ac:dyDescent="0.3">
      <c r="A80" s="43" t="s">
        <v>460</v>
      </c>
      <c r="B80" s="38" t="s">
        <v>453</v>
      </c>
      <c r="C80" s="36" t="s">
        <v>67</v>
      </c>
      <c r="D80" s="36" t="s">
        <v>228</v>
      </c>
      <c r="E80" s="36" t="s">
        <v>231</v>
      </c>
      <c r="F80" s="126"/>
      <c r="G80" s="128"/>
      <c r="H80" s="129"/>
      <c r="I80" s="129"/>
      <c r="J80" s="36">
        <v>33.927802702244016</v>
      </c>
      <c r="K80" s="126"/>
      <c r="L80" s="126"/>
      <c r="M80" s="151"/>
    </row>
    <row r="81" spans="1:13" ht="15.75" thickBot="1" x14ac:dyDescent="0.3">
      <c r="A81" s="43" t="s">
        <v>460</v>
      </c>
      <c r="B81" s="38" t="s">
        <v>187</v>
      </c>
      <c r="C81" s="36" t="s">
        <v>68</v>
      </c>
      <c r="D81" s="36" t="s">
        <v>423</v>
      </c>
      <c r="E81" s="36" t="s">
        <v>231</v>
      </c>
      <c r="F81" s="164">
        <v>5972</v>
      </c>
      <c r="G81" s="166">
        <v>754424</v>
      </c>
      <c r="H81" s="168">
        <v>228357</v>
      </c>
      <c r="I81" s="168">
        <f>G81-H81</f>
        <v>526067</v>
      </c>
      <c r="J81" s="36">
        <f>I81/F81</f>
        <v>88.088914936369719</v>
      </c>
      <c r="K81" s="164">
        <v>5614</v>
      </c>
      <c r="L81" s="170">
        <f>J81*K81</f>
        <v>494531.16845277959</v>
      </c>
      <c r="M81" s="151"/>
    </row>
    <row r="82" spans="1:13" x14ac:dyDescent="0.25">
      <c r="A82" s="43" t="s">
        <v>460</v>
      </c>
      <c r="B82" s="38" t="s">
        <v>204</v>
      </c>
      <c r="C82" s="36" t="s">
        <v>68</v>
      </c>
      <c r="D82" s="36" t="s">
        <v>423</v>
      </c>
      <c r="E82" s="36" t="s">
        <v>231</v>
      </c>
      <c r="F82" s="165">
        <v>4197</v>
      </c>
      <c r="G82" s="167">
        <v>317371</v>
      </c>
      <c r="H82" s="169">
        <v>34340</v>
      </c>
      <c r="I82" s="169">
        <f>G82-H82</f>
        <v>283031</v>
      </c>
      <c r="J82" s="36">
        <f>I82/F82</f>
        <v>67.436502263521561</v>
      </c>
      <c r="K82" s="165">
        <v>4197</v>
      </c>
      <c r="L82" s="171">
        <f>J82*K82</f>
        <v>283031</v>
      </c>
      <c r="M82" s="151"/>
    </row>
    <row r="83" spans="1:13" x14ac:dyDescent="0.25">
      <c r="A83" s="146"/>
      <c r="B83" s="108"/>
      <c r="C83" s="144"/>
      <c r="D83" s="144"/>
      <c r="E83" s="144"/>
      <c r="F83" s="145"/>
      <c r="G83" s="145"/>
      <c r="H83" s="145"/>
      <c r="I83" s="145"/>
      <c r="J83" s="144"/>
      <c r="K83" s="145"/>
      <c r="L83" s="145"/>
      <c r="M83" s="151"/>
    </row>
    <row r="84" spans="1:13" x14ac:dyDescent="0.25">
      <c r="A84" t="s">
        <v>454</v>
      </c>
      <c r="B84" s="108"/>
      <c r="C84" s="144"/>
      <c r="D84" s="144"/>
      <c r="E84" s="144"/>
      <c r="F84" s="145"/>
      <c r="G84" s="145"/>
      <c r="H84" s="145"/>
      <c r="I84" s="145"/>
      <c r="J84" s="144"/>
      <c r="K84" s="145"/>
      <c r="L84" s="145"/>
      <c r="M84" s="151"/>
    </row>
    <row r="85" spans="1:13" x14ac:dyDescent="0.25">
      <c r="M85" s="151"/>
    </row>
    <row r="86" spans="1:13" x14ac:dyDescent="0.25">
      <c r="M86" s="151"/>
    </row>
    <row r="87" spans="1:13" x14ac:dyDescent="0.25">
      <c r="M87" s="151"/>
    </row>
    <row r="88" spans="1:13" x14ac:dyDescent="0.25">
      <c r="M88" s="151"/>
    </row>
    <row r="89" spans="1:13" x14ac:dyDescent="0.25">
      <c r="M89" s="151"/>
    </row>
    <row r="90" spans="1:13" x14ac:dyDescent="0.25">
      <c r="M90" s="151"/>
    </row>
    <row r="91" spans="1:13" x14ac:dyDescent="0.25">
      <c r="M91" s="151"/>
    </row>
    <row r="92" spans="1:13" x14ac:dyDescent="0.25">
      <c r="M92" s="151"/>
    </row>
    <row r="93" spans="1:13" s="146" customFormat="1" x14ac:dyDescent="0.25">
      <c r="A93"/>
      <c r="B93"/>
      <c r="C93"/>
      <c r="D93"/>
      <c r="E93"/>
      <c r="F93"/>
      <c r="G93"/>
      <c r="H93"/>
      <c r="I93"/>
      <c r="J93"/>
      <c r="K93"/>
      <c r="L93"/>
    </row>
    <row r="94" spans="1:13" s="146" customFormat="1" x14ac:dyDescent="0.25">
      <c r="A94"/>
      <c r="B94"/>
      <c r="C94"/>
      <c r="D94"/>
      <c r="E94"/>
      <c r="F94"/>
      <c r="G94"/>
      <c r="H94"/>
      <c r="I94"/>
      <c r="J94"/>
      <c r="K94"/>
      <c r="L94"/>
    </row>
  </sheetData>
  <autoFilter ref="B9:L82" xr:uid="{00000000-0009-0000-0000-000008000000}">
    <sortState xmlns:xlrd2="http://schemas.microsoft.com/office/spreadsheetml/2017/richdata2" ref="B10:L82">
      <sortCondition ref="C9:C82"/>
    </sortState>
  </autoFilter>
  <phoneticPr fontId="14" type="noConversion"/>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topLeftCell="A7" workbookViewId="0">
      <selection activeCell="F55" sqref="F55"/>
    </sheetView>
  </sheetViews>
  <sheetFormatPr defaultRowHeight="15" x14ac:dyDescent="0.25"/>
  <cols>
    <col min="1" max="1" width="10.28515625" bestFit="1" customWidth="1"/>
    <col min="2" max="2" width="84.28515625" customWidth="1"/>
    <col min="3" max="3" width="12.7109375" customWidth="1"/>
    <col min="4" max="4" width="10.28515625" customWidth="1"/>
    <col min="6" max="6" width="11.28515625" customWidth="1"/>
    <col min="7" max="7" width="10.28515625" customWidth="1"/>
    <col min="9" max="9" width="10.5703125" bestFit="1" customWidth="1"/>
    <col min="15" max="15" width="10.5703125" bestFit="1" customWidth="1"/>
  </cols>
  <sheetData>
    <row r="1" spans="1:15" x14ac:dyDescent="0.25">
      <c r="A1" s="24" t="str">
        <f>Cover!A1</f>
        <v>Utah Department of Health &amp; Human Services, Office of Reimbursement, Coordinated Care &amp; Audit</v>
      </c>
      <c r="C1" s="24"/>
    </row>
    <row r="2" spans="1:15" x14ac:dyDescent="0.25">
      <c r="A2" s="24" t="str">
        <f>Cover!A2</f>
        <v>Medicaid Rate Study</v>
      </c>
    </row>
    <row r="3" spans="1:15" x14ac:dyDescent="0.25">
      <c r="A3" s="24" t="str">
        <f>Cover!A3&amp;"-5"</f>
        <v>2025 Home and Community Based Services (HCBS) - Exhibit A-5</v>
      </c>
    </row>
    <row r="4" spans="1:15" x14ac:dyDescent="0.25">
      <c r="A4" t="s">
        <v>22</v>
      </c>
    </row>
    <row r="6" spans="1:15" x14ac:dyDescent="0.25">
      <c r="D6" s="40" t="s">
        <v>19</v>
      </c>
      <c r="E6" s="41"/>
      <c r="F6" s="41"/>
      <c r="G6" s="42"/>
    </row>
    <row r="7" spans="1:15" ht="90.75" thickBot="1" x14ac:dyDescent="0.3">
      <c r="A7" s="6" t="s">
        <v>214</v>
      </c>
      <c r="B7" s="6" t="s">
        <v>0</v>
      </c>
      <c r="C7" s="7" t="s">
        <v>28</v>
      </c>
      <c r="D7" s="6" t="s">
        <v>1</v>
      </c>
      <c r="E7" s="6" t="s">
        <v>2</v>
      </c>
      <c r="F7" s="6" t="s">
        <v>20</v>
      </c>
      <c r="G7" s="7" t="s">
        <v>21</v>
      </c>
      <c r="H7" s="6" t="s">
        <v>3</v>
      </c>
      <c r="I7" s="7" t="s">
        <v>4</v>
      </c>
      <c r="J7" s="7" t="s">
        <v>5</v>
      </c>
      <c r="K7" s="7" t="s">
        <v>499</v>
      </c>
      <c r="L7" s="7" t="s">
        <v>6</v>
      </c>
      <c r="M7" s="7" t="s">
        <v>7</v>
      </c>
      <c r="N7" s="7" t="s">
        <v>8</v>
      </c>
      <c r="O7" s="6" t="s">
        <v>9</v>
      </c>
    </row>
    <row r="8" spans="1:15" ht="16.5" x14ac:dyDescent="0.25">
      <c r="A8" s="54" t="s">
        <v>48</v>
      </c>
      <c r="B8" s="62" t="s">
        <v>500</v>
      </c>
      <c r="C8" s="28">
        <v>19.760000000000002</v>
      </c>
      <c r="D8" s="29">
        <f>IFERROR(AVERAGE(H8:O8),0)</f>
        <v>0</v>
      </c>
      <c r="E8" s="30">
        <f>IFERROR(C8/D8,0)</f>
        <v>0</v>
      </c>
      <c r="F8" s="29">
        <f>MAX(H8:O8)</f>
        <v>0</v>
      </c>
      <c r="G8" s="29">
        <f>MIN(H8:O8)</f>
        <v>0</v>
      </c>
      <c r="H8" s="132"/>
      <c r="I8" s="132"/>
      <c r="J8" s="132"/>
      <c r="K8" s="132"/>
      <c r="L8" s="132"/>
      <c r="M8" s="132"/>
      <c r="N8" s="132"/>
      <c r="O8" s="132"/>
    </row>
    <row r="9" spans="1:15" x14ac:dyDescent="0.25">
      <c r="A9" s="55" t="s">
        <v>49</v>
      </c>
      <c r="B9" s="56" t="s">
        <v>71</v>
      </c>
      <c r="C9" s="63">
        <v>5.32</v>
      </c>
      <c r="D9" s="64">
        <f t="shared" ref="D9:D29" si="0">AVERAGE(H9:O9)</f>
        <v>9.1999999999999993</v>
      </c>
      <c r="E9" s="65">
        <f t="shared" ref="E9:E29" si="1">C9/D9</f>
        <v>0.57826086956521749</v>
      </c>
      <c r="F9" s="64">
        <f t="shared" ref="F9:F29" si="2">MAX(H9:O9)</f>
        <v>9.1999999999999993</v>
      </c>
      <c r="G9" s="64">
        <f t="shared" ref="G9:G29" si="3">MIN(H9:O9)</f>
        <v>9.1999999999999993</v>
      </c>
      <c r="H9" s="136"/>
      <c r="I9" s="137">
        <f>VLOOKUP(A9,[2]CO!A:C,3,0)</f>
        <v>9.1999999999999993</v>
      </c>
      <c r="J9" s="136"/>
      <c r="K9" s="136"/>
      <c r="L9" s="136"/>
      <c r="M9" s="136"/>
      <c r="N9" s="136"/>
      <c r="O9" s="136"/>
    </row>
    <row r="10" spans="1:15" x14ac:dyDescent="0.25">
      <c r="A10" s="55" t="s">
        <v>49</v>
      </c>
      <c r="B10" s="56" t="s">
        <v>71</v>
      </c>
      <c r="C10" s="63">
        <v>4.72</v>
      </c>
      <c r="D10" s="64">
        <f t="shared" si="0"/>
        <v>9.1999999999999993</v>
      </c>
      <c r="E10" s="65">
        <f t="shared" si="1"/>
        <v>0.5130434782608696</v>
      </c>
      <c r="F10" s="64">
        <f t="shared" si="2"/>
        <v>9.1999999999999993</v>
      </c>
      <c r="G10" s="64">
        <f t="shared" si="3"/>
        <v>9.1999999999999993</v>
      </c>
      <c r="H10" s="136"/>
      <c r="I10" s="137">
        <f>VLOOKUP(A10,[2]CO!A:C,3,0)</f>
        <v>9.1999999999999993</v>
      </c>
      <c r="J10" s="136"/>
      <c r="K10" s="136"/>
      <c r="L10" s="136"/>
      <c r="M10" s="136"/>
      <c r="N10" s="136"/>
      <c r="O10" s="136"/>
    </row>
    <row r="11" spans="1:15" x14ac:dyDescent="0.25">
      <c r="A11" s="57" t="s">
        <v>50</v>
      </c>
      <c r="B11" s="9" t="s">
        <v>215</v>
      </c>
      <c r="C11" s="27">
        <v>40</v>
      </c>
      <c r="D11" s="34">
        <f t="shared" si="0"/>
        <v>96.26</v>
      </c>
      <c r="E11" s="18">
        <f t="shared" si="1"/>
        <v>0.41554124246831498</v>
      </c>
      <c r="F11" s="34">
        <f t="shared" si="2"/>
        <v>96.26</v>
      </c>
      <c r="G11" s="34">
        <f t="shared" si="3"/>
        <v>96.26</v>
      </c>
      <c r="H11" s="134">
        <f>VLOOKUP(A11,[2]AZ!A:C,3,0)</f>
        <v>96.26</v>
      </c>
      <c r="I11" s="36"/>
      <c r="J11" s="36"/>
      <c r="K11" s="36"/>
      <c r="L11" s="36"/>
      <c r="M11" s="36"/>
      <c r="N11" s="36"/>
      <c r="O11" s="36"/>
    </row>
    <row r="12" spans="1:15" x14ac:dyDescent="0.25">
      <c r="A12" s="55" t="s">
        <v>51</v>
      </c>
      <c r="B12" s="56" t="s">
        <v>216</v>
      </c>
      <c r="C12" s="63">
        <v>203.02</v>
      </c>
      <c r="D12" s="64">
        <f t="shared" si="0"/>
        <v>189.57499999999999</v>
      </c>
      <c r="E12" s="65">
        <f t="shared" si="1"/>
        <v>1.0709217987603852</v>
      </c>
      <c r="F12" s="64">
        <f t="shared" si="2"/>
        <v>194.06</v>
      </c>
      <c r="G12" s="64">
        <f t="shared" si="3"/>
        <v>185.09</v>
      </c>
      <c r="H12" s="136"/>
      <c r="I12" s="137">
        <f>VLOOKUP(A12,[2]CO!A:C,3,0)</f>
        <v>194.06</v>
      </c>
      <c r="J12" s="138"/>
      <c r="K12" s="137"/>
      <c r="L12" s="137"/>
      <c r="M12" s="137"/>
      <c r="N12" s="137"/>
      <c r="O12" s="137">
        <f>VLOOKUP(A12,[2]WY!A:C,3,0)</f>
        <v>185.09</v>
      </c>
    </row>
    <row r="13" spans="1:15" x14ac:dyDescent="0.25">
      <c r="A13" s="55" t="s">
        <v>51</v>
      </c>
      <c r="B13" s="56" t="s">
        <v>216</v>
      </c>
      <c r="C13" s="63">
        <v>138.5</v>
      </c>
      <c r="D13" s="64">
        <f t="shared" si="0"/>
        <v>189.57499999999999</v>
      </c>
      <c r="E13" s="65">
        <f t="shared" si="1"/>
        <v>0.73058156402479235</v>
      </c>
      <c r="F13" s="64">
        <f t="shared" si="2"/>
        <v>194.06</v>
      </c>
      <c r="G13" s="64">
        <f t="shared" si="3"/>
        <v>185.09</v>
      </c>
      <c r="H13" s="136"/>
      <c r="I13" s="137">
        <f>VLOOKUP(A13,[2]CO!A:C,3,0)</f>
        <v>194.06</v>
      </c>
      <c r="J13" s="138"/>
      <c r="K13" s="137"/>
      <c r="L13" s="137"/>
      <c r="M13" s="137"/>
      <c r="N13" s="137"/>
      <c r="O13" s="137">
        <f>VLOOKUP(A13,[2]WY!A:C,3,0)</f>
        <v>185.09</v>
      </c>
    </row>
    <row r="14" spans="1:15" x14ac:dyDescent="0.25">
      <c r="A14" s="57" t="s">
        <v>52</v>
      </c>
      <c r="B14" s="9" t="s">
        <v>217</v>
      </c>
      <c r="C14" s="27">
        <v>43.24</v>
      </c>
      <c r="D14" s="34">
        <f t="shared" si="0"/>
        <v>78.295000000000002</v>
      </c>
      <c r="E14" s="18">
        <f t="shared" si="1"/>
        <v>0.55227025991442624</v>
      </c>
      <c r="F14" s="34">
        <f t="shared" si="2"/>
        <v>99.39</v>
      </c>
      <c r="G14" s="34">
        <f t="shared" si="3"/>
        <v>57.2</v>
      </c>
      <c r="H14" s="134">
        <f>VLOOKUP(A14,[2]AZ!A:C,3,0)</f>
        <v>99.39</v>
      </c>
      <c r="I14" s="133"/>
      <c r="J14" s="135"/>
      <c r="K14" s="133"/>
      <c r="L14" s="133"/>
      <c r="M14" s="133">
        <f>VLOOKUP(A14,[2]NV!A:C,3,0)</f>
        <v>57.2</v>
      </c>
      <c r="N14" s="133"/>
      <c r="O14" s="133"/>
    </row>
    <row r="15" spans="1:15" x14ac:dyDescent="0.25">
      <c r="A15" s="57" t="s">
        <v>52</v>
      </c>
      <c r="B15" s="9" t="s">
        <v>217</v>
      </c>
      <c r="C15" s="27">
        <v>37.659999999999997</v>
      </c>
      <c r="D15" s="34">
        <f t="shared" si="0"/>
        <v>78.295000000000002</v>
      </c>
      <c r="E15" s="18">
        <f t="shared" si="1"/>
        <v>0.48100134108180592</v>
      </c>
      <c r="F15" s="34">
        <f t="shared" si="2"/>
        <v>99.39</v>
      </c>
      <c r="G15" s="34">
        <f t="shared" si="3"/>
        <v>57.2</v>
      </c>
      <c r="H15" s="134">
        <f>VLOOKUP(A15,[2]AZ!A:C,3,0)</f>
        <v>99.39</v>
      </c>
      <c r="I15" s="133"/>
      <c r="J15" s="135"/>
      <c r="K15" s="133"/>
      <c r="L15" s="133"/>
      <c r="M15" s="133">
        <f>VLOOKUP(A15,[2]NV!A:C,3,0)</f>
        <v>57.2</v>
      </c>
      <c r="N15" s="133"/>
      <c r="O15" s="133"/>
    </row>
    <row r="16" spans="1:15" x14ac:dyDescent="0.25">
      <c r="A16" s="55" t="s">
        <v>53</v>
      </c>
      <c r="B16" s="56" t="s">
        <v>218</v>
      </c>
      <c r="C16" s="63">
        <v>4.62</v>
      </c>
      <c r="D16" s="64">
        <f t="shared" si="0"/>
        <v>6.6450000000000005</v>
      </c>
      <c r="E16" s="65">
        <f t="shared" si="1"/>
        <v>0.69525959367945822</v>
      </c>
      <c r="F16" s="64">
        <f t="shared" si="2"/>
        <v>8.91</v>
      </c>
      <c r="G16" s="64">
        <f t="shared" si="3"/>
        <v>3.51</v>
      </c>
      <c r="H16" s="139">
        <f>VLOOKUP(A16,[2]AZ!A:C,3,0)</f>
        <v>6.67</v>
      </c>
      <c r="I16" s="137"/>
      <c r="J16" s="138">
        <f>VLOOKUP(A16,[2]ID!A:C,3,0)</f>
        <v>6.11</v>
      </c>
      <c r="K16" s="137">
        <f>VLOOKUP(A16,[2]KY!A:C,3,0)</f>
        <v>3.51</v>
      </c>
      <c r="L16" s="137"/>
      <c r="M16" s="137">
        <f>VLOOKUP(A16,[2]NV!A:C,3,0)</f>
        <v>6.25</v>
      </c>
      <c r="N16" s="137">
        <f>VLOOKUP(A16,[2]NM!A:C,3,0)</f>
        <v>8.42</v>
      </c>
      <c r="O16" s="137">
        <f>VLOOKUP(A16,[2]WY!A:C,3,0)</f>
        <v>8.91</v>
      </c>
    </row>
    <row r="17" spans="1:15" x14ac:dyDescent="0.25">
      <c r="A17" s="55" t="s">
        <v>53</v>
      </c>
      <c r="B17" s="56" t="s">
        <v>218</v>
      </c>
      <c r="C17" s="63">
        <v>7.5</v>
      </c>
      <c r="D17" s="64">
        <f t="shared" si="0"/>
        <v>6.6450000000000005</v>
      </c>
      <c r="E17" s="65">
        <f t="shared" si="1"/>
        <v>1.1286681715575619</v>
      </c>
      <c r="F17" s="64">
        <f t="shared" si="2"/>
        <v>8.91</v>
      </c>
      <c r="G17" s="64">
        <f t="shared" si="3"/>
        <v>3.51</v>
      </c>
      <c r="H17" s="139">
        <f>VLOOKUP(A17,[2]AZ!A:C,3,0)</f>
        <v>6.67</v>
      </c>
      <c r="I17" s="137"/>
      <c r="J17" s="138">
        <f>VLOOKUP(A17,[2]ID!A:C,3,0)</f>
        <v>6.11</v>
      </c>
      <c r="K17" s="137">
        <f>VLOOKUP(A17,[2]KY!A:C,3,0)</f>
        <v>3.51</v>
      </c>
      <c r="L17" s="137"/>
      <c r="M17" s="137">
        <f>VLOOKUP(A17,[2]NV!A:C,3,0)</f>
        <v>6.25</v>
      </c>
      <c r="N17" s="137">
        <f>VLOOKUP(A17,[2]NM!A:C,3,0)</f>
        <v>8.42</v>
      </c>
      <c r="O17" s="137">
        <f>VLOOKUP(A17,[2]WY!A:C,3,0)</f>
        <v>8.91</v>
      </c>
    </row>
    <row r="18" spans="1:15" ht="16.5" x14ac:dyDescent="0.25">
      <c r="A18" s="57" t="s">
        <v>54</v>
      </c>
      <c r="B18" s="9" t="s">
        <v>503</v>
      </c>
      <c r="C18" s="27">
        <v>8.02</v>
      </c>
      <c r="D18" s="34">
        <f t="shared" si="0"/>
        <v>7.0153571428571428</v>
      </c>
      <c r="E18" s="18">
        <f t="shared" si="1"/>
        <v>1.1432062312274092</v>
      </c>
      <c r="F18" s="34">
        <f t="shared" si="2"/>
        <v>8.4</v>
      </c>
      <c r="G18" s="34">
        <f t="shared" si="3"/>
        <v>5.48</v>
      </c>
      <c r="H18" s="134">
        <f>VLOOKUP(A18,[2]AZ!A:C,3,0)</f>
        <v>8.4</v>
      </c>
      <c r="I18" s="133">
        <f>VLOOKUP(A18,[2]CO!A:C,3,0)</f>
        <v>7.01</v>
      </c>
      <c r="J18" s="135">
        <f>VLOOKUP(A18,[2]ID!A:C,3,0)</f>
        <v>5.48</v>
      </c>
      <c r="K18" s="133">
        <f>VLOOKUP(A18,[2]KY!A:C,3,0)</f>
        <v>7.87</v>
      </c>
      <c r="L18" s="133">
        <f>VLOOKUP(A18,[2]MT!A:C,3,0)</f>
        <v>7.6074999999999999</v>
      </c>
      <c r="M18" s="133">
        <f>VLOOKUP(A18,[2]NV!A:C,3,0)</f>
        <v>6.25</v>
      </c>
      <c r="N18" s="133"/>
      <c r="O18" s="133">
        <f>VLOOKUP(A18,[2]WY!A:C,3,0)</f>
        <v>6.49</v>
      </c>
    </row>
    <row r="19" spans="1:15" ht="16.5" x14ac:dyDescent="0.25">
      <c r="A19" s="57" t="s">
        <v>54</v>
      </c>
      <c r="B19" s="9" t="s">
        <v>503</v>
      </c>
      <c r="C19" s="27">
        <v>6.21</v>
      </c>
      <c r="D19" s="34">
        <f t="shared" si="0"/>
        <v>7.0153571428571428</v>
      </c>
      <c r="E19" s="18">
        <f t="shared" si="1"/>
        <v>0.88520083490301893</v>
      </c>
      <c r="F19" s="34">
        <f t="shared" si="2"/>
        <v>8.4</v>
      </c>
      <c r="G19" s="34">
        <f t="shared" si="3"/>
        <v>5.48</v>
      </c>
      <c r="H19" s="134">
        <f>VLOOKUP(A19,[2]AZ!A:C,3,0)</f>
        <v>8.4</v>
      </c>
      <c r="I19" s="133">
        <f>VLOOKUP(A19,[2]CO!A:C,3,0)</f>
        <v>7.01</v>
      </c>
      <c r="J19" s="135">
        <f>VLOOKUP(A19,[2]ID!A:C,3,0)</f>
        <v>5.48</v>
      </c>
      <c r="K19" s="133">
        <f>VLOOKUP(A19,[2]KY!A:C,3,0)</f>
        <v>7.87</v>
      </c>
      <c r="L19" s="133">
        <f>VLOOKUP(A19,[2]MT!A:C,3,0)</f>
        <v>7.6074999999999999</v>
      </c>
      <c r="M19" s="133">
        <f>VLOOKUP(A19,[2]NV!A:C,3,0)</f>
        <v>6.25</v>
      </c>
      <c r="N19" s="133"/>
      <c r="O19" s="133">
        <f>VLOOKUP(A19,[2]WY!A:C,3,0)</f>
        <v>6.49</v>
      </c>
    </row>
    <row r="20" spans="1:15" x14ac:dyDescent="0.25">
      <c r="A20" s="55" t="s">
        <v>55</v>
      </c>
      <c r="B20" s="56" t="s">
        <v>219</v>
      </c>
      <c r="C20" s="63">
        <v>4.97</v>
      </c>
      <c r="D20" s="64">
        <f t="shared" si="0"/>
        <v>7.0724999999999998</v>
      </c>
      <c r="E20" s="65">
        <f t="shared" si="1"/>
        <v>0.70272180982679389</v>
      </c>
      <c r="F20" s="64">
        <f t="shared" si="2"/>
        <v>9.1199999999999992</v>
      </c>
      <c r="G20" s="64">
        <f t="shared" si="3"/>
        <v>5.77</v>
      </c>
      <c r="H20" s="139">
        <f>VLOOKUP(A20,[2]AZ!A:C,3,0)</f>
        <v>6.67</v>
      </c>
      <c r="I20" s="137"/>
      <c r="J20" s="138">
        <f>VLOOKUP(A20,[2]ID!A:C,3,0)</f>
        <v>5.77</v>
      </c>
      <c r="K20" s="137">
        <f>VLOOKUP(A20,[2]KY!A:C,3,0)</f>
        <v>6.73</v>
      </c>
      <c r="L20" s="137">
        <f>VLOOKUP(A20,[2]MT!A:C,3,0)</f>
        <v>9.1199999999999992</v>
      </c>
      <c r="M20" s="137"/>
      <c r="N20" s="137"/>
      <c r="O20" s="137"/>
    </row>
    <row r="21" spans="1:15" x14ac:dyDescent="0.25">
      <c r="A21" s="54" t="s">
        <v>56</v>
      </c>
      <c r="B21" s="44" t="s">
        <v>220</v>
      </c>
      <c r="C21" s="27">
        <v>5.64</v>
      </c>
      <c r="D21" s="34">
        <f t="shared" si="0"/>
        <v>7.3140000000000001</v>
      </c>
      <c r="E21" s="18">
        <f t="shared" si="1"/>
        <v>0.77112387202625099</v>
      </c>
      <c r="F21" s="34">
        <f t="shared" si="2"/>
        <v>10.36</v>
      </c>
      <c r="G21" s="34">
        <f t="shared" si="3"/>
        <v>6.02</v>
      </c>
      <c r="H21" s="134">
        <f>VLOOKUP(A21,[2]AZ!A:C,3,0)</f>
        <v>6.67</v>
      </c>
      <c r="I21" s="133">
        <f>VLOOKUP(A21,[2]CO!A:C,3,0)</f>
        <v>7.27</v>
      </c>
      <c r="J21" s="135"/>
      <c r="K21" s="133"/>
      <c r="L21" s="133">
        <f>VLOOKUP(A21,[2]MT!A:C,3,0)</f>
        <v>6.02</v>
      </c>
      <c r="M21" s="133">
        <f>VLOOKUP(A21,[2]NV!A:C,3,0)</f>
        <v>6.25</v>
      </c>
      <c r="N21" s="133"/>
      <c r="O21" s="133">
        <f>VLOOKUP(A21,[2]WY!A:C,3,0)</f>
        <v>10.36</v>
      </c>
    </row>
    <row r="22" spans="1:15" x14ac:dyDescent="0.25">
      <c r="A22" s="57" t="s">
        <v>56</v>
      </c>
      <c r="B22" s="9" t="s">
        <v>220</v>
      </c>
      <c r="C22" s="27">
        <v>5.32</v>
      </c>
      <c r="D22" s="34">
        <f t="shared" si="0"/>
        <v>7.3140000000000001</v>
      </c>
      <c r="E22" s="18">
        <f t="shared" si="1"/>
        <v>0.7273721629751162</v>
      </c>
      <c r="F22" s="34">
        <f t="shared" si="2"/>
        <v>10.36</v>
      </c>
      <c r="G22" s="34">
        <f t="shared" si="3"/>
        <v>6.02</v>
      </c>
      <c r="H22" s="134">
        <f>VLOOKUP(A22,[2]AZ!A:C,3,0)</f>
        <v>6.67</v>
      </c>
      <c r="I22" s="133">
        <f>VLOOKUP(A22,[2]CO!A:C,3,0)</f>
        <v>7.27</v>
      </c>
      <c r="J22" s="135"/>
      <c r="K22" s="133"/>
      <c r="L22" s="133">
        <f>VLOOKUP(A22,[2]MT!A:C,3,0)</f>
        <v>6.02</v>
      </c>
      <c r="M22" s="133">
        <f>VLOOKUP(A22,[2]NV!A:C,3,0)</f>
        <v>6.25</v>
      </c>
      <c r="N22" s="133"/>
      <c r="O22" s="133">
        <f>VLOOKUP(A22,[2]WY!A:C,3,0)</f>
        <v>10.36</v>
      </c>
    </row>
    <row r="23" spans="1:15" x14ac:dyDescent="0.25">
      <c r="A23" s="57" t="s">
        <v>56</v>
      </c>
      <c r="B23" s="9" t="s">
        <v>220</v>
      </c>
      <c r="C23" s="27">
        <v>7.01</v>
      </c>
      <c r="D23" s="34">
        <f t="shared" si="0"/>
        <v>7.3140000000000001</v>
      </c>
      <c r="E23" s="18">
        <f t="shared" si="1"/>
        <v>0.95843587640142192</v>
      </c>
      <c r="F23" s="34">
        <f t="shared" si="2"/>
        <v>10.36</v>
      </c>
      <c r="G23" s="34">
        <f t="shared" si="3"/>
        <v>6.02</v>
      </c>
      <c r="H23" s="134">
        <f>VLOOKUP(A23,[2]AZ!A:C,3,0)</f>
        <v>6.67</v>
      </c>
      <c r="I23" s="133">
        <f>VLOOKUP(A23,[2]CO!A:C,3,0)</f>
        <v>7.27</v>
      </c>
      <c r="J23" s="135"/>
      <c r="K23" s="133"/>
      <c r="L23" s="133">
        <f>VLOOKUP(A23,[2]MT!A:C,3,0)</f>
        <v>6.02</v>
      </c>
      <c r="M23" s="133">
        <f>VLOOKUP(A23,[2]NV!A:C,3,0)</f>
        <v>6.25</v>
      </c>
      <c r="N23" s="133"/>
      <c r="O23" s="133">
        <f>VLOOKUP(A23,[2]WY!A:C,3,0)</f>
        <v>10.36</v>
      </c>
    </row>
    <row r="24" spans="1:15" ht="16.5" x14ac:dyDescent="0.25">
      <c r="A24" s="58" t="s">
        <v>57</v>
      </c>
      <c r="B24" s="59" t="s">
        <v>504</v>
      </c>
      <c r="C24" s="63">
        <v>7.34</v>
      </c>
      <c r="D24" s="64">
        <f t="shared" si="0"/>
        <v>10.344285714285714</v>
      </c>
      <c r="E24" s="65">
        <f t="shared" si="1"/>
        <v>0.70957050131197352</v>
      </c>
      <c r="F24" s="64">
        <f t="shared" si="2"/>
        <v>13.76</v>
      </c>
      <c r="G24" s="64">
        <f t="shared" si="3"/>
        <v>7.06</v>
      </c>
      <c r="H24" s="139">
        <f>VLOOKUP(A24,[2]AZ!A:C,3,0)</f>
        <v>13.76</v>
      </c>
      <c r="I24" s="137">
        <f>VLOOKUP(A24,[2]CO!A:C,3,0)</f>
        <v>12.58</v>
      </c>
      <c r="J24" s="138">
        <f>VLOOKUP(A24,[2]ID!A:C,3,0)</f>
        <v>7.06</v>
      </c>
      <c r="K24" s="137">
        <f>VLOOKUP(A24,[2]KY!A:C,3,0)</f>
        <v>9.08</v>
      </c>
      <c r="L24" s="137">
        <f>VLOOKUP(A24,[2]MT!A:C,3,0)</f>
        <v>8.9700000000000006</v>
      </c>
      <c r="M24" s="137">
        <f>VLOOKUP(A24,[2]NV!A:C,3,0)</f>
        <v>10.31</v>
      </c>
      <c r="N24" s="137"/>
      <c r="O24" s="137">
        <f>VLOOKUP(A24,[2]WY!A:C,3,0)</f>
        <v>10.65</v>
      </c>
    </row>
    <row r="25" spans="1:15" ht="16.5" x14ac:dyDescent="0.25">
      <c r="A25" s="55" t="s">
        <v>57</v>
      </c>
      <c r="B25" s="59" t="s">
        <v>504</v>
      </c>
      <c r="C25" s="63">
        <v>7.05</v>
      </c>
      <c r="D25" s="64">
        <f t="shared" si="0"/>
        <v>10.344285714285714</v>
      </c>
      <c r="E25" s="65">
        <f t="shared" si="1"/>
        <v>0.68153569948902082</v>
      </c>
      <c r="F25" s="64">
        <f t="shared" si="2"/>
        <v>13.76</v>
      </c>
      <c r="G25" s="64">
        <f t="shared" si="3"/>
        <v>7.06</v>
      </c>
      <c r="H25" s="139">
        <f>VLOOKUP(A25,[2]AZ!A:C,3,0)</f>
        <v>13.76</v>
      </c>
      <c r="I25" s="137">
        <f>VLOOKUP(A25,[2]CO!A:C,3,0)</f>
        <v>12.58</v>
      </c>
      <c r="J25" s="138">
        <f>VLOOKUP(A25,[2]ID!A:C,3,0)</f>
        <v>7.06</v>
      </c>
      <c r="K25" s="137">
        <f>VLOOKUP(A25,[2]KY!A:C,3,0)</f>
        <v>9.08</v>
      </c>
      <c r="L25" s="137">
        <f>VLOOKUP(A25,[2]MT!A:C,3,0)</f>
        <v>8.9700000000000006</v>
      </c>
      <c r="M25" s="137">
        <f>VLOOKUP(A25,[2]NV!A:C,3,0)</f>
        <v>10.31</v>
      </c>
      <c r="N25" s="137"/>
      <c r="O25" s="137">
        <f>VLOOKUP(A25,[2]WY!A:C,3,0)</f>
        <v>10.65</v>
      </c>
    </row>
    <row r="26" spans="1:15" x14ac:dyDescent="0.25">
      <c r="A26" s="57" t="s">
        <v>58</v>
      </c>
      <c r="B26" s="9" t="s">
        <v>222</v>
      </c>
      <c r="C26" s="27">
        <v>14.91</v>
      </c>
      <c r="D26" s="34">
        <f t="shared" si="0"/>
        <v>15.29</v>
      </c>
      <c r="E26" s="18">
        <f t="shared" si="1"/>
        <v>0.97514715500327021</v>
      </c>
      <c r="F26" s="34">
        <f t="shared" si="2"/>
        <v>15.29</v>
      </c>
      <c r="G26" s="34">
        <f t="shared" si="3"/>
        <v>15.29</v>
      </c>
      <c r="H26" s="134"/>
      <c r="I26" s="133"/>
      <c r="J26" s="135">
        <f>VLOOKUP(A26,[2]ID!A:C,3,0)</f>
        <v>15.29</v>
      </c>
      <c r="K26" s="133"/>
      <c r="L26" s="133"/>
      <c r="M26" s="133"/>
      <c r="N26" s="133"/>
      <c r="O26" s="133"/>
    </row>
    <row r="27" spans="1:15" x14ac:dyDescent="0.25">
      <c r="A27" s="55" t="s">
        <v>59</v>
      </c>
      <c r="B27" s="56" t="s">
        <v>223</v>
      </c>
      <c r="C27" s="63">
        <v>14.91</v>
      </c>
      <c r="D27" s="64">
        <f t="shared" si="0"/>
        <v>5.3199999999999994</v>
      </c>
      <c r="E27" s="65">
        <f t="shared" si="1"/>
        <v>2.8026315789473686</v>
      </c>
      <c r="F27" s="64">
        <f t="shared" si="2"/>
        <v>8.43</v>
      </c>
      <c r="G27" s="64">
        <f t="shared" si="3"/>
        <v>3.38</v>
      </c>
      <c r="H27" s="139"/>
      <c r="I27" s="137">
        <f>VLOOKUP(A27,[2]CO!A:C,3,0)</f>
        <v>8.43</v>
      </c>
      <c r="J27" s="138">
        <f>VLOOKUP(A27,[2]ID!A:C,3,0)</f>
        <v>5.77</v>
      </c>
      <c r="K27" s="137">
        <f>VLOOKUP(A27,[2]KY!A:C,3,0)</f>
        <v>3.7</v>
      </c>
      <c r="L27" s="137"/>
      <c r="M27" s="137"/>
      <c r="N27" s="137">
        <f>VLOOKUP(A27,[2]NM!A:C,3,0)</f>
        <v>3.38</v>
      </c>
      <c r="O27" s="137"/>
    </row>
    <row r="28" spans="1:15" x14ac:dyDescent="0.25">
      <c r="A28" s="55" t="s">
        <v>59</v>
      </c>
      <c r="B28" s="56" t="s">
        <v>223</v>
      </c>
      <c r="C28" s="63">
        <v>14.91</v>
      </c>
      <c r="D28" s="64">
        <f t="shared" si="0"/>
        <v>5.3199999999999994</v>
      </c>
      <c r="E28" s="65">
        <f t="shared" si="1"/>
        <v>2.8026315789473686</v>
      </c>
      <c r="F28" s="64">
        <f t="shared" si="2"/>
        <v>8.43</v>
      </c>
      <c r="G28" s="64">
        <f t="shared" si="3"/>
        <v>3.38</v>
      </c>
      <c r="H28" s="139"/>
      <c r="I28" s="137">
        <f>VLOOKUP(A28,[2]CO!A:C,3,0)</f>
        <v>8.43</v>
      </c>
      <c r="J28" s="138">
        <f>VLOOKUP(A28,[2]ID!A:C,3,0)</f>
        <v>5.77</v>
      </c>
      <c r="K28" s="137">
        <f>VLOOKUP(A28,[2]KY!A:C,3,0)</f>
        <v>3.7</v>
      </c>
      <c r="L28" s="137"/>
      <c r="M28" s="137"/>
      <c r="N28" s="137">
        <f>VLOOKUP(A28,[2]NM!A:C,3,0)</f>
        <v>3.38</v>
      </c>
      <c r="O28" s="137"/>
    </row>
    <row r="29" spans="1:15" x14ac:dyDescent="0.25">
      <c r="A29" s="55" t="s">
        <v>59</v>
      </c>
      <c r="B29" s="56" t="s">
        <v>223</v>
      </c>
      <c r="C29" s="66">
        <v>14.91</v>
      </c>
      <c r="D29" s="67">
        <f t="shared" si="0"/>
        <v>5.3199999999999994</v>
      </c>
      <c r="E29" s="68">
        <f t="shared" si="1"/>
        <v>2.8026315789473686</v>
      </c>
      <c r="F29" s="67">
        <f t="shared" si="2"/>
        <v>8.43</v>
      </c>
      <c r="G29" s="67">
        <f t="shared" si="3"/>
        <v>3.38</v>
      </c>
      <c r="H29" s="139"/>
      <c r="I29" s="137">
        <f>VLOOKUP(A29,[2]CO!A:C,3,0)</f>
        <v>8.43</v>
      </c>
      <c r="J29" s="138">
        <f>VLOOKUP(A29,[2]ID!A:C,3,0)</f>
        <v>5.77</v>
      </c>
      <c r="K29" s="137">
        <f>VLOOKUP(A29,[2]KY!A:C,3,0)</f>
        <v>3.7</v>
      </c>
      <c r="L29" s="137"/>
      <c r="M29" s="137"/>
      <c r="N29" s="137">
        <f>VLOOKUP(A29,[2]NM!A:C,3,0)</f>
        <v>3.38</v>
      </c>
      <c r="O29" s="137"/>
    </row>
    <row r="30" spans="1:15" x14ac:dyDescent="0.25">
      <c r="A30" s="57" t="s">
        <v>60</v>
      </c>
      <c r="B30" s="9" t="s">
        <v>73</v>
      </c>
      <c r="C30" s="26">
        <v>26.42</v>
      </c>
      <c r="D30" s="31">
        <f t="shared" ref="D30:D46" si="4">AVERAGE(H30:O30)</f>
        <v>14.02</v>
      </c>
      <c r="E30" s="25">
        <f t="shared" ref="E30:E46" si="5">C30/D30</f>
        <v>1.8844507845934382</v>
      </c>
      <c r="F30" s="31">
        <f t="shared" ref="F30:F46" si="6">MAX(H30:O30)</f>
        <v>14.02</v>
      </c>
      <c r="G30" s="31">
        <f t="shared" ref="G30:G46" si="7">MIN(H30:O30)</f>
        <v>14.02</v>
      </c>
      <c r="H30" s="134"/>
      <c r="I30" s="133"/>
      <c r="J30" s="135">
        <f>VLOOKUP(A30,[2]ID!A:C,3,0)</f>
        <v>14.02</v>
      </c>
      <c r="K30" s="133"/>
      <c r="L30" s="133"/>
      <c r="M30" s="133"/>
      <c r="N30" s="133"/>
      <c r="O30" s="133"/>
    </row>
    <row r="31" spans="1:15" x14ac:dyDescent="0.25">
      <c r="A31" s="57" t="s">
        <v>60</v>
      </c>
      <c r="B31" s="9" t="s">
        <v>73</v>
      </c>
      <c r="C31" s="26">
        <v>25.39</v>
      </c>
      <c r="D31" s="31">
        <f t="shared" si="4"/>
        <v>14.02</v>
      </c>
      <c r="E31" s="25">
        <f t="shared" si="5"/>
        <v>1.8109843081312411</v>
      </c>
      <c r="F31" s="31">
        <f t="shared" si="6"/>
        <v>14.02</v>
      </c>
      <c r="G31" s="31">
        <f t="shared" si="7"/>
        <v>14.02</v>
      </c>
      <c r="H31" s="134"/>
      <c r="I31" s="133"/>
      <c r="J31" s="135">
        <f>VLOOKUP(A31,[2]ID!A:C,3,0)</f>
        <v>14.02</v>
      </c>
      <c r="K31" s="133"/>
      <c r="L31" s="133"/>
      <c r="M31" s="133"/>
      <c r="N31" s="133"/>
      <c r="O31" s="133"/>
    </row>
    <row r="32" spans="1:15" x14ac:dyDescent="0.25">
      <c r="A32" s="55" t="s">
        <v>61</v>
      </c>
      <c r="B32" s="56" t="s">
        <v>224</v>
      </c>
      <c r="C32" s="66">
        <v>6.91</v>
      </c>
      <c r="D32" s="67">
        <f t="shared" si="4"/>
        <v>7.5659999999999998</v>
      </c>
      <c r="E32" s="68">
        <f t="shared" si="5"/>
        <v>0.91329632566745977</v>
      </c>
      <c r="F32" s="67">
        <f t="shared" si="6"/>
        <v>8.92</v>
      </c>
      <c r="G32" s="67">
        <f t="shared" si="7"/>
        <v>6.11</v>
      </c>
      <c r="H32" s="139">
        <f>VLOOKUP(A32,[2]AZ!A:C,3,0)</f>
        <v>8.83</v>
      </c>
      <c r="I32" s="137">
        <f>VLOOKUP(A32,[2]CO!A:C,3,0)</f>
        <v>6.6</v>
      </c>
      <c r="J32" s="138">
        <f>VLOOKUP(A32,[2]ID!A:C,3,0)</f>
        <v>6.11</v>
      </c>
      <c r="K32" s="137">
        <f>VLOOKUP(A32,[2]KY!A:C,3,0)</f>
        <v>7.37</v>
      </c>
      <c r="L32" s="137">
        <f>VLOOKUP(A32,[2]MT!A:C,3,0)</f>
        <v>8.92</v>
      </c>
      <c r="M32" s="137"/>
      <c r="N32" s="137"/>
      <c r="O32" s="137"/>
    </row>
    <row r="33" spans="1:15" x14ac:dyDescent="0.25">
      <c r="A33" s="57" t="s">
        <v>62</v>
      </c>
      <c r="B33" s="9" t="s">
        <v>225</v>
      </c>
      <c r="C33" s="26">
        <v>49.43</v>
      </c>
      <c r="D33" s="31">
        <f t="shared" si="4"/>
        <v>60.03</v>
      </c>
      <c r="E33" s="25">
        <f t="shared" si="5"/>
        <v>0.82342162252207229</v>
      </c>
      <c r="F33" s="31">
        <f t="shared" si="6"/>
        <v>60.03</v>
      </c>
      <c r="G33" s="31">
        <f t="shared" si="7"/>
        <v>60.03</v>
      </c>
      <c r="H33" s="134">
        <f>VLOOKUP(A33,[2]AZ!A:C,3,0)</f>
        <v>60.03</v>
      </c>
      <c r="I33" s="133"/>
      <c r="J33" s="135"/>
      <c r="K33" s="133"/>
      <c r="L33" s="133"/>
      <c r="M33" s="133"/>
      <c r="N33" s="133"/>
      <c r="O33" s="133"/>
    </row>
    <row r="34" spans="1:15" x14ac:dyDescent="0.25">
      <c r="A34" s="57" t="s">
        <v>62</v>
      </c>
      <c r="B34" s="9" t="s">
        <v>225</v>
      </c>
      <c r="C34" s="26">
        <v>49.43</v>
      </c>
      <c r="D34" s="31">
        <f t="shared" si="4"/>
        <v>60.03</v>
      </c>
      <c r="E34" s="25">
        <f t="shared" si="5"/>
        <v>0.82342162252207229</v>
      </c>
      <c r="F34" s="31">
        <f t="shared" si="6"/>
        <v>60.03</v>
      </c>
      <c r="G34" s="31">
        <f t="shared" si="7"/>
        <v>60.03</v>
      </c>
      <c r="H34" s="134">
        <f>VLOOKUP(A34,[2]AZ!A:C,3,0)</f>
        <v>60.03</v>
      </c>
      <c r="I34" s="133"/>
      <c r="J34" s="135"/>
      <c r="K34" s="133"/>
      <c r="L34" s="133"/>
      <c r="M34" s="133"/>
      <c r="N34" s="133"/>
      <c r="O34" s="133"/>
    </row>
    <row r="35" spans="1:15" x14ac:dyDescent="0.25">
      <c r="A35" s="57" t="s">
        <v>62</v>
      </c>
      <c r="B35" s="9" t="s">
        <v>225</v>
      </c>
      <c r="C35" s="26">
        <v>49.43</v>
      </c>
      <c r="D35" s="31">
        <f t="shared" si="4"/>
        <v>60.03</v>
      </c>
      <c r="E35" s="25">
        <f t="shared" si="5"/>
        <v>0.82342162252207229</v>
      </c>
      <c r="F35" s="31">
        <f t="shared" si="6"/>
        <v>60.03</v>
      </c>
      <c r="G35" s="31">
        <f t="shared" si="7"/>
        <v>60.03</v>
      </c>
      <c r="H35" s="134">
        <f>VLOOKUP(A35,[2]AZ!A:C,3,0)</f>
        <v>60.03</v>
      </c>
      <c r="I35" s="133"/>
      <c r="J35" s="135"/>
      <c r="K35" s="133"/>
      <c r="L35" s="133"/>
      <c r="M35" s="133"/>
      <c r="N35" s="133"/>
      <c r="O35" s="133"/>
    </row>
    <row r="36" spans="1:15" ht="16.5" x14ac:dyDescent="0.25">
      <c r="A36" s="55" t="s">
        <v>63</v>
      </c>
      <c r="B36" s="56" t="s">
        <v>505</v>
      </c>
      <c r="C36" s="66">
        <v>17.45</v>
      </c>
      <c r="D36" s="67">
        <f t="shared" si="4"/>
        <v>13.84</v>
      </c>
      <c r="E36" s="68">
        <f t="shared" si="5"/>
        <v>1.2608381502890174</v>
      </c>
      <c r="F36" s="67">
        <f t="shared" si="6"/>
        <v>14.77</v>
      </c>
      <c r="G36" s="67">
        <f t="shared" si="7"/>
        <v>12.91</v>
      </c>
      <c r="H36" s="139"/>
      <c r="I36" s="137"/>
      <c r="J36" s="138">
        <f>VLOOKUP(A36,[2]ID!A:C,3,0)</f>
        <v>12.91</v>
      </c>
      <c r="K36" s="137"/>
      <c r="L36" s="137">
        <f>VLOOKUP(A36,[2]MT!A:C,3,0)</f>
        <v>14.77</v>
      </c>
      <c r="M36" s="137"/>
      <c r="N36" s="137"/>
      <c r="O36" s="137"/>
    </row>
    <row r="37" spans="1:15" ht="16.5" x14ac:dyDescent="0.25">
      <c r="A37" s="57" t="s">
        <v>64</v>
      </c>
      <c r="B37" s="9" t="s">
        <v>506</v>
      </c>
      <c r="C37" s="26">
        <v>14.95</v>
      </c>
      <c r="D37" s="31">
        <f t="shared" si="4"/>
        <v>14.155000000000001</v>
      </c>
      <c r="E37" s="25">
        <f t="shared" si="5"/>
        <v>1.056163899682091</v>
      </c>
      <c r="F37" s="31">
        <f t="shared" si="6"/>
        <v>14.9</v>
      </c>
      <c r="G37" s="31">
        <f t="shared" si="7"/>
        <v>13.41</v>
      </c>
      <c r="H37" s="134"/>
      <c r="I37" s="133">
        <f>VLOOKUP(A37,[2]CO!A:C,3,0)</f>
        <v>13.41</v>
      </c>
      <c r="J37" s="135"/>
      <c r="K37" s="133"/>
      <c r="L37" s="133">
        <f>VLOOKUP(A37,[2]MT!A:C,3,0)</f>
        <v>14.9</v>
      </c>
      <c r="M37" s="133"/>
      <c r="N37" s="133"/>
      <c r="O37" s="133"/>
    </row>
    <row r="38" spans="1:15" ht="16.5" x14ac:dyDescent="0.25">
      <c r="A38" s="57" t="s">
        <v>64</v>
      </c>
      <c r="B38" s="9" t="s">
        <v>506</v>
      </c>
      <c r="C38" s="26">
        <v>14.94</v>
      </c>
      <c r="D38" s="31">
        <f t="shared" si="4"/>
        <v>14.155000000000001</v>
      </c>
      <c r="E38" s="25">
        <f t="shared" si="5"/>
        <v>1.0554574355351465</v>
      </c>
      <c r="F38" s="31">
        <f t="shared" si="6"/>
        <v>14.9</v>
      </c>
      <c r="G38" s="31">
        <f t="shared" si="7"/>
        <v>13.41</v>
      </c>
      <c r="H38" s="134"/>
      <c r="I38" s="133">
        <f>VLOOKUP(A38,[2]CO!A:C,3,0)</f>
        <v>13.41</v>
      </c>
      <c r="J38" s="135"/>
      <c r="K38" s="133"/>
      <c r="L38" s="133">
        <f>VLOOKUP(A38,[2]MT!A:C,3,0)</f>
        <v>14.9</v>
      </c>
      <c r="M38" s="133"/>
      <c r="N38" s="133"/>
      <c r="O38" s="133"/>
    </row>
    <row r="39" spans="1:15" x14ac:dyDescent="0.25">
      <c r="A39" s="55" t="s">
        <v>65</v>
      </c>
      <c r="B39" s="56" t="s">
        <v>227</v>
      </c>
      <c r="C39" s="66">
        <v>90.92</v>
      </c>
      <c r="D39" s="67">
        <f t="shared" si="4"/>
        <v>207.37</v>
      </c>
      <c r="E39" s="68">
        <f t="shared" si="5"/>
        <v>0.43844336210637991</v>
      </c>
      <c r="F39" s="67">
        <f t="shared" si="6"/>
        <v>221.54</v>
      </c>
      <c r="G39" s="67">
        <f t="shared" si="7"/>
        <v>188.6</v>
      </c>
      <c r="H39" s="139"/>
      <c r="I39" s="137">
        <f>VLOOKUP(A39,[2]CO!A:C,3,0)</f>
        <v>211.97</v>
      </c>
      <c r="J39" s="138"/>
      <c r="K39" s="137">
        <f>VLOOKUP(A39,[2]KY!A:C,3,0)</f>
        <v>188.6</v>
      </c>
      <c r="L39" s="137"/>
      <c r="M39" s="137"/>
      <c r="N39" s="137">
        <f>VLOOKUP(A39,[2]NM!A:C,3,0)</f>
        <v>221.54</v>
      </c>
      <c r="O39" s="137"/>
    </row>
    <row r="40" spans="1:15" ht="16.5" x14ac:dyDescent="0.25">
      <c r="A40" s="57" t="s">
        <v>66</v>
      </c>
      <c r="B40" s="9" t="s">
        <v>507</v>
      </c>
      <c r="C40" s="26">
        <v>22.65</v>
      </c>
      <c r="D40" s="31">
        <f t="shared" si="4"/>
        <v>27.759999999999998</v>
      </c>
      <c r="E40" s="25">
        <f t="shared" si="5"/>
        <v>0.81592219020172907</v>
      </c>
      <c r="F40" s="31">
        <f t="shared" si="6"/>
        <v>30.52</v>
      </c>
      <c r="G40" s="31">
        <f t="shared" si="7"/>
        <v>25</v>
      </c>
      <c r="H40" s="134"/>
      <c r="I40" s="133"/>
      <c r="J40" s="135"/>
      <c r="K40" s="133"/>
      <c r="L40" s="133">
        <f>VLOOKUP(A40,[2]MT!A:C,3,0)</f>
        <v>30.52</v>
      </c>
      <c r="M40" s="133">
        <f>VLOOKUP(A40,[2]NV!A:C,3,0)</f>
        <v>25</v>
      </c>
      <c r="N40" s="133"/>
      <c r="O40" s="133"/>
    </row>
    <row r="41" spans="1:15" x14ac:dyDescent="0.25">
      <c r="A41" s="58" t="s">
        <v>67</v>
      </c>
      <c r="B41" s="59" t="s">
        <v>228</v>
      </c>
      <c r="C41" s="66">
        <v>79</v>
      </c>
      <c r="D41" s="67">
        <f t="shared" si="4"/>
        <v>119.98400000000001</v>
      </c>
      <c r="E41" s="68">
        <f t="shared" si="5"/>
        <v>0.65842112281637544</v>
      </c>
      <c r="F41" s="67">
        <f t="shared" si="6"/>
        <v>215.61</v>
      </c>
      <c r="G41" s="67">
        <f t="shared" si="7"/>
        <v>70.44</v>
      </c>
      <c r="H41" s="139"/>
      <c r="I41" s="137">
        <f>VLOOKUP(A41,[2]CO!A:C,3,0)</f>
        <v>103.72</v>
      </c>
      <c r="J41" s="138"/>
      <c r="K41" s="137">
        <f>VLOOKUP(A41,[2]KY!A:C,3,0)</f>
        <v>105.15</v>
      </c>
      <c r="L41" s="137">
        <f>VLOOKUP(A41,[2]MT!A:C,3,0)</f>
        <v>215.61</v>
      </c>
      <c r="M41" s="137">
        <f>VLOOKUP(A41,[2]NV!A:C,3,0)</f>
        <v>105</v>
      </c>
      <c r="N41" s="137"/>
      <c r="O41" s="137">
        <f>VLOOKUP(A41,[2]WY!A:C,3,0)</f>
        <v>70.44</v>
      </c>
    </row>
    <row r="42" spans="1:15" ht="16.5" x14ac:dyDescent="0.25">
      <c r="A42" s="57" t="s">
        <v>68</v>
      </c>
      <c r="B42" s="9" t="s">
        <v>508</v>
      </c>
      <c r="C42" s="26">
        <v>132.16</v>
      </c>
      <c r="D42" s="31">
        <f t="shared" si="4"/>
        <v>217.30333333333331</v>
      </c>
      <c r="E42" s="25">
        <f t="shared" si="5"/>
        <v>0.6081821110275959</v>
      </c>
      <c r="F42" s="31">
        <f t="shared" si="6"/>
        <v>235.2</v>
      </c>
      <c r="G42" s="31">
        <f t="shared" si="7"/>
        <v>191.71</v>
      </c>
      <c r="H42" s="134"/>
      <c r="I42" s="133"/>
      <c r="J42" s="135"/>
      <c r="K42" s="133">
        <f>VLOOKUP(A42,[2]KY!A:C,3,0)</f>
        <v>225</v>
      </c>
      <c r="L42" s="133">
        <f>VLOOKUP(A42,[2]MT!A:C,3,0)</f>
        <v>235.2</v>
      </c>
      <c r="M42" s="133"/>
      <c r="N42" s="133">
        <f>VLOOKUP(A42,[2]NM!A:C,3,0)</f>
        <v>191.71</v>
      </c>
      <c r="O42" s="133"/>
    </row>
    <row r="43" spans="1:15" x14ac:dyDescent="0.25">
      <c r="A43" s="55" t="s">
        <v>69</v>
      </c>
      <c r="B43" s="56" t="s">
        <v>75</v>
      </c>
      <c r="C43" s="66">
        <v>95.25</v>
      </c>
      <c r="D43" s="67">
        <f t="shared" si="4"/>
        <v>149.91999999999999</v>
      </c>
      <c r="E43" s="68">
        <f t="shared" si="5"/>
        <v>0.63533884738527224</v>
      </c>
      <c r="F43" s="67">
        <f t="shared" si="6"/>
        <v>196.63</v>
      </c>
      <c r="G43" s="67">
        <f t="shared" si="7"/>
        <v>103.21</v>
      </c>
      <c r="H43" s="139"/>
      <c r="I43" s="161">
        <v>103.21</v>
      </c>
      <c r="J43" s="138"/>
      <c r="K43" s="137">
        <f>VLOOKUP(A43,[2]KY!A:C,3,0)</f>
        <v>196.63</v>
      </c>
      <c r="L43" s="137"/>
      <c r="M43" s="137"/>
      <c r="N43" s="137"/>
      <c r="O43" s="137"/>
    </row>
    <row r="44" spans="1:15" x14ac:dyDescent="0.25">
      <c r="A44" s="55" t="s">
        <v>69</v>
      </c>
      <c r="B44" s="56" t="s">
        <v>75</v>
      </c>
      <c r="C44" s="66">
        <v>51.67</v>
      </c>
      <c r="D44" s="67">
        <f t="shared" si="4"/>
        <v>149.91999999999999</v>
      </c>
      <c r="E44" s="68">
        <f t="shared" si="5"/>
        <v>0.34465048025613665</v>
      </c>
      <c r="F44" s="67">
        <f t="shared" si="6"/>
        <v>196.63</v>
      </c>
      <c r="G44" s="67">
        <f t="shared" si="7"/>
        <v>103.21</v>
      </c>
      <c r="H44" s="139"/>
      <c r="I44" s="161">
        <v>103.21</v>
      </c>
      <c r="J44" s="138"/>
      <c r="K44" s="137">
        <f>VLOOKUP(A44,[2]KY!A:C,3,0)</f>
        <v>196.63</v>
      </c>
      <c r="L44" s="137"/>
      <c r="M44" s="137"/>
      <c r="N44" s="137"/>
      <c r="O44" s="137"/>
    </row>
    <row r="45" spans="1:15" x14ac:dyDescent="0.25">
      <c r="A45" s="55" t="s">
        <v>69</v>
      </c>
      <c r="B45" s="56" t="s">
        <v>75</v>
      </c>
      <c r="C45" s="66">
        <v>48</v>
      </c>
      <c r="D45" s="67">
        <f t="shared" si="4"/>
        <v>149.91999999999999</v>
      </c>
      <c r="E45" s="68">
        <f t="shared" si="5"/>
        <v>0.32017075773746001</v>
      </c>
      <c r="F45" s="67">
        <f t="shared" si="6"/>
        <v>196.63</v>
      </c>
      <c r="G45" s="67">
        <f t="shared" si="7"/>
        <v>103.21</v>
      </c>
      <c r="H45" s="139"/>
      <c r="I45" s="161">
        <v>103.21</v>
      </c>
      <c r="J45" s="138"/>
      <c r="K45" s="137">
        <f>VLOOKUP(A45,[2]KY!A:C,3,0)</f>
        <v>196.63</v>
      </c>
      <c r="L45" s="137"/>
      <c r="M45" s="137"/>
      <c r="N45" s="137"/>
      <c r="O45" s="137"/>
    </row>
    <row r="46" spans="1:15" ht="15.75" thickBot="1" x14ac:dyDescent="0.3">
      <c r="A46" s="178" t="s">
        <v>69</v>
      </c>
      <c r="B46" s="179" t="s">
        <v>75</v>
      </c>
      <c r="C46" s="180">
        <v>48</v>
      </c>
      <c r="D46" s="181">
        <f t="shared" si="4"/>
        <v>149.91999999999999</v>
      </c>
      <c r="E46" s="182">
        <f t="shared" si="5"/>
        <v>0.32017075773746001</v>
      </c>
      <c r="F46" s="181">
        <f t="shared" si="6"/>
        <v>196.63</v>
      </c>
      <c r="G46" s="181">
        <f t="shared" si="7"/>
        <v>103.21</v>
      </c>
      <c r="H46" s="183"/>
      <c r="I46" s="184">
        <v>103.21</v>
      </c>
      <c r="J46" s="185"/>
      <c r="K46" s="186">
        <f>VLOOKUP(A46,[2]KY!A:C,3,0)</f>
        <v>196.63</v>
      </c>
      <c r="L46" s="186"/>
      <c r="M46" s="186"/>
      <c r="N46" s="186"/>
      <c r="O46" s="186"/>
    </row>
    <row r="47" spans="1:15" x14ac:dyDescent="0.25">
      <c r="A47" s="172"/>
      <c r="B47" s="172"/>
      <c r="C47" s="173"/>
      <c r="D47" s="173"/>
      <c r="E47" s="174"/>
      <c r="F47" s="173"/>
      <c r="G47" s="173"/>
      <c r="H47" s="175"/>
      <c r="I47" s="175"/>
      <c r="J47" s="175"/>
      <c r="K47" s="175"/>
      <c r="L47" s="175"/>
      <c r="M47" s="175"/>
      <c r="N47" s="175"/>
      <c r="O47" s="175"/>
    </row>
    <row r="48" spans="1:15" x14ac:dyDescent="0.25">
      <c r="A48" s="172"/>
      <c r="B48" s="172"/>
      <c r="C48" s="176"/>
      <c r="D48" s="176"/>
      <c r="E48" s="176"/>
      <c r="F48" s="176"/>
      <c r="G48" s="176"/>
      <c r="H48" s="177"/>
      <c r="I48" s="177"/>
      <c r="J48" s="177"/>
      <c r="K48" s="177"/>
      <c r="L48" s="177"/>
      <c r="M48" s="177"/>
      <c r="N48" s="177"/>
      <c r="O48" s="177"/>
    </row>
    <row r="49" spans="1:1" ht="16.5" x14ac:dyDescent="0.25">
      <c r="A49" t="s">
        <v>501</v>
      </c>
    </row>
    <row r="50" spans="1:1" ht="16.5" x14ac:dyDescent="0.25">
      <c r="A50" t="s">
        <v>509</v>
      </c>
    </row>
    <row r="51" spans="1:1" ht="16.5" x14ac:dyDescent="0.25">
      <c r="A51" t="s">
        <v>502</v>
      </c>
    </row>
    <row r="52" spans="1:1" ht="16.5" x14ac:dyDescent="0.25">
      <c r="A52" t="s">
        <v>511</v>
      </c>
    </row>
    <row r="53" spans="1:1" ht="16.5" x14ac:dyDescent="0.25">
      <c r="A53" t="s">
        <v>512</v>
      </c>
    </row>
    <row r="54" spans="1:1" ht="16.5" x14ac:dyDescent="0.25">
      <c r="A54" t="s">
        <v>513</v>
      </c>
    </row>
    <row r="55" spans="1:1" ht="16.5" x14ac:dyDescent="0.25">
      <c r="A55" t="s">
        <v>510</v>
      </c>
    </row>
  </sheetData>
  <autoFilter ref="A7:O46" xr:uid="{00000000-0009-0000-0000-000009000000}"/>
  <pageMargins left="0.7" right="0.7" top="0.75" bottom="0.75" header="0.3" footer="0.3"/>
  <customProperties>
    <customPr name="OrphanNamesChecke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W42"/>
  <sheetViews>
    <sheetView workbookViewId="0">
      <selection activeCell="E20" sqref="E20"/>
    </sheetView>
  </sheetViews>
  <sheetFormatPr defaultColWidth="9.140625" defaultRowHeight="15" x14ac:dyDescent="0.25"/>
  <cols>
    <col min="1" max="1" width="57.140625" style="81" customWidth="1"/>
    <col min="2" max="16384" width="9.140625" style="81"/>
  </cols>
  <sheetData>
    <row r="1" spans="1:101" ht="30" x14ac:dyDescent="0.25">
      <c r="A1" s="79" t="s">
        <v>234</v>
      </c>
      <c r="B1" s="80" t="str">
        <f t="shared" ref="B1:AK1" si="0">LEFT(B2,4)&amp;" "&amp;RIGHT(B2,2)</f>
        <v>2010 Q1</v>
      </c>
      <c r="C1" s="80" t="str">
        <f t="shared" si="0"/>
        <v>2010 Q2</v>
      </c>
      <c r="D1" s="80" t="str">
        <f t="shared" si="0"/>
        <v>2010 Q3</v>
      </c>
      <c r="E1" s="80" t="str">
        <f t="shared" si="0"/>
        <v>2010 Q4</v>
      </c>
      <c r="F1" s="80" t="str">
        <f t="shared" si="0"/>
        <v>2011 Q1</v>
      </c>
      <c r="G1" s="80" t="str">
        <f t="shared" si="0"/>
        <v>2011 Q2</v>
      </c>
      <c r="H1" s="80" t="str">
        <f t="shared" si="0"/>
        <v>2011 Q3</v>
      </c>
      <c r="I1" s="80" t="str">
        <f t="shared" si="0"/>
        <v>2011 Q4</v>
      </c>
      <c r="J1" s="80" t="str">
        <f t="shared" si="0"/>
        <v>2012 Q1</v>
      </c>
      <c r="K1" s="80" t="str">
        <f t="shared" si="0"/>
        <v>2012 Q2</v>
      </c>
      <c r="L1" s="80" t="str">
        <f t="shared" si="0"/>
        <v>2012 Q3</v>
      </c>
      <c r="M1" s="80" t="str">
        <f t="shared" si="0"/>
        <v>2012 Q4</v>
      </c>
      <c r="N1" s="80" t="str">
        <f t="shared" si="0"/>
        <v>2013 Q1</v>
      </c>
      <c r="O1" s="80" t="str">
        <f t="shared" si="0"/>
        <v>2013 Q2</v>
      </c>
      <c r="P1" s="80" t="str">
        <f t="shared" si="0"/>
        <v>2013 Q3</v>
      </c>
      <c r="Q1" s="80" t="str">
        <f t="shared" si="0"/>
        <v>2013 Q4</v>
      </c>
      <c r="R1" s="80" t="str">
        <f t="shared" si="0"/>
        <v>2014 Q1</v>
      </c>
      <c r="S1" s="80" t="str">
        <f t="shared" si="0"/>
        <v>2014 Q2</v>
      </c>
      <c r="T1" s="80" t="str">
        <f t="shared" si="0"/>
        <v>2014 Q3</v>
      </c>
      <c r="U1" s="80" t="str">
        <f t="shared" si="0"/>
        <v>2014 Q4</v>
      </c>
      <c r="V1" s="80" t="str">
        <f t="shared" si="0"/>
        <v>2015 Q1</v>
      </c>
      <c r="W1" s="80" t="str">
        <f t="shared" si="0"/>
        <v>2015 Q2</v>
      </c>
      <c r="X1" s="80" t="str">
        <f t="shared" si="0"/>
        <v>2015 Q3</v>
      </c>
      <c r="Y1" s="80" t="str">
        <f t="shared" si="0"/>
        <v>2015 Q4</v>
      </c>
      <c r="Z1" s="80" t="str">
        <f t="shared" si="0"/>
        <v>2016 Q1</v>
      </c>
      <c r="AA1" s="80" t="str">
        <f t="shared" si="0"/>
        <v>2016 Q2</v>
      </c>
      <c r="AB1" s="80" t="str">
        <f t="shared" si="0"/>
        <v>2016 Q3</v>
      </c>
      <c r="AC1" s="80" t="str">
        <f t="shared" si="0"/>
        <v>2016 Q4</v>
      </c>
      <c r="AD1" s="80" t="str">
        <f t="shared" si="0"/>
        <v>2017 Q1</v>
      </c>
      <c r="AE1" s="80" t="str">
        <f t="shared" si="0"/>
        <v>2017 Q2</v>
      </c>
      <c r="AF1" s="80" t="str">
        <f t="shared" si="0"/>
        <v>2017 Q3</v>
      </c>
      <c r="AG1" s="80" t="str">
        <f t="shared" si="0"/>
        <v>2017 Q4</v>
      </c>
      <c r="AH1" s="80" t="str">
        <f t="shared" si="0"/>
        <v>2018 Q1</v>
      </c>
      <c r="AI1" s="80" t="str">
        <f t="shared" si="0"/>
        <v>2018 Q2</v>
      </c>
      <c r="AJ1" s="80" t="str">
        <f t="shared" si="0"/>
        <v>2018 Q3</v>
      </c>
      <c r="AK1" s="80" t="str">
        <f t="shared" si="0"/>
        <v>2018 Q4</v>
      </c>
      <c r="AL1" s="80" t="str">
        <f>LEFT(AL2,4)&amp;" "&amp;RIGHT(AL2,2)</f>
        <v>2019 Q1</v>
      </c>
      <c r="AM1" s="80" t="str">
        <f>LEFT(AM2,4)&amp;" "&amp;RIGHT(AM2,2)</f>
        <v>2019 Q2</v>
      </c>
      <c r="AN1" s="80" t="str">
        <f>LEFT(AN2,4)&amp;" "&amp;RIGHT(AN2,2)</f>
        <v>2019 Q3</v>
      </c>
      <c r="AO1" s="80" t="str">
        <f t="shared" ref="AO1:BH1" si="1">LEFT(AO2,4)&amp;" "&amp;RIGHT(AO2,2)</f>
        <v>2019 Q4</v>
      </c>
      <c r="AP1" s="80" t="str">
        <f t="shared" si="1"/>
        <v>2020 Q1</v>
      </c>
      <c r="AQ1" s="80" t="str">
        <f t="shared" si="1"/>
        <v>2020 Q2</v>
      </c>
      <c r="AR1" s="80" t="str">
        <f t="shared" si="1"/>
        <v>2020 Q3</v>
      </c>
      <c r="AS1" s="80" t="str">
        <f t="shared" si="1"/>
        <v>2020 Q4</v>
      </c>
      <c r="AT1" s="80" t="str">
        <f t="shared" si="1"/>
        <v>2021 Q1</v>
      </c>
      <c r="AU1" s="80" t="str">
        <f t="shared" si="1"/>
        <v>2021 Q2</v>
      </c>
      <c r="AV1" s="80" t="str">
        <f t="shared" si="1"/>
        <v>2021 Q3</v>
      </c>
      <c r="AW1" s="80" t="str">
        <f t="shared" si="1"/>
        <v>2021 Q4</v>
      </c>
      <c r="AX1" s="80" t="str">
        <f t="shared" si="1"/>
        <v>2022 Q1</v>
      </c>
      <c r="AY1" s="80" t="str">
        <f t="shared" si="1"/>
        <v>2022 Q2</v>
      </c>
      <c r="AZ1" s="80" t="str">
        <f t="shared" si="1"/>
        <v>2022 Q3</v>
      </c>
      <c r="BA1" s="80" t="str">
        <f t="shared" si="1"/>
        <v>2022 Q4</v>
      </c>
      <c r="BB1" s="80" t="str">
        <f t="shared" si="1"/>
        <v>2023 Q1</v>
      </c>
      <c r="BC1" s="80" t="str">
        <f t="shared" si="1"/>
        <v>2023 Q2</v>
      </c>
      <c r="BD1" s="80" t="str">
        <f t="shared" si="1"/>
        <v>2023 Q3</v>
      </c>
      <c r="BE1" s="80" t="str">
        <f t="shared" si="1"/>
        <v>2023 Q4</v>
      </c>
      <c r="BF1" s="80" t="str">
        <f t="shared" si="1"/>
        <v>2024 Q1</v>
      </c>
      <c r="BG1" s="80" t="str">
        <f t="shared" si="1"/>
        <v>2024 Q2</v>
      </c>
      <c r="BH1" s="80" t="str">
        <f t="shared" si="1"/>
        <v>2024 Q3</v>
      </c>
      <c r="BI1" s="80"/>
      <c r="BJ1" s="80"/>
      <c r="BK1" s="80"/>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row>
    <row r="2" spans="1:101" s="85" customFormat="1" ht="45" x14ac:dyDescent="0.25">
      <c r="A2" s="82" t="s">
        <v>235</v>
      </c>
      <c r="B2" s="83" t="s">
        <v>236</v>
      </c>
      <c r="C2" s="83" t="s">
        <v>237</v>
      </c>
      <c r="D2" s="83" t="s">
        <v>238</v>
      </c>
      <c r="E2" s="83" t="s">
        <v>239</v>
      </c>
      <c r="F2" s="83" t="s">
        <v>240</v>
      </c>
      <c r="G2" s="83" t="s">
        <v>241</v>
      </c>
      <c r="H2" s="83" t="s">
        <v>242</v>
      </c>
      <c r="I2" s="83" t="s">
        <v>243</v>
      </c>
      <c r="J2" s="83" t="s">
        <v>244</v>
      </c>
      <c r="K2" s="83" t="s">
        <v>245</v>
      </c>
      <c r="L2" s="83" t="s">
        <v>246</v>
      </c>
      <c r="M2" s="83" t="s">
        <v>247</v>
      </c>
      <c r="N2" s="83" t="s">
        <v>248</v>
      </c>
      <c r="O2" s="83" t="s">
        <v>249</v>
      </c>
      <c r="P2" s="83" t="s">
        <v>250</v>
      </c>
      <c r="Q2" s="83" t="s">
        <v>251</v>
      </c>
      <c r="R2" s="83" t="s">
        <v>252</v>
      </c>
      <c r="S2" s="83" t="s">
        <v>253</v>
      </c>
      <c r="T2" s="83" t="s">
        <v>254</v>
      </c>
      <c r="U2" s="83" t="s">
        <v>255</v>
      </c>
      <c r="V2" s="83" t="s">
        <v>256</v>
      </c>
      <c r="W2" s="83" t="s">
        <v>257</v>
      </c>
      <c r="X2" s="83" t="s">
        <v>258</v>
      </c>
      <c r="Y2" s="83" t="s">
        <v>259</v>
      </c>
      <c r="Z2" s="83" t="s">
        <v>260</v>
      </c>
      <c r="AA2" s="83" t="s">
        <v>261</v>
      </c>
      <c r="AB2" s="83" t="s">
        <v>262</v>
      </c>
      <c r="AC2" s="83" t="s">
        <v>263</v>
      </c>
      <c r="AD2" s="83" t="s">
        <v>264</v>
      </c>
      <c r="AE2" s="83" t="s">
        <v>265</v>
      </c>
      <c r="AF2" s="83" t="s">
        <v>266</v>
      </c>
      <c r="AG2" s="83" t="s">
        <v>267</v>
      </c>
      <c r="AH2" s="83" t="s">
        <v>268</v>
      </c>
      <c r="AI2" s="83" t="s">
        <v>269</v>
      </c>
      <c r="AJ2" s="83" t="s">
        <v>270</v>
      </c>
      <c r="AK2" s="83" t="s">
        <v>271</v>
      </c>
      <c r="AL2" s="83" t="s">
        <v>272</v>
      </c>
      <c r="AM2" s="83" t="s">
        <v>273</v>
      </c>
      <c r="AN2" s="83" t="s">
        <v>274</v>
      </c>
      <c r="AO2" s="83" t="s">
        <v>275</v>
      </c>
      <c r="AP2" s="83" t="s">
        <v>276</v>
      </c>
      <c r="AQ2" s="83" t="s">
        <v>277</v>
      </c>
      <c r="AR2" s="83" t="s">
        <v>278</v>
      </c>
      <c r="AS2" s="83" t="s">
        <v>279</v>
      </c>
      <c r="AT2" s="83" t="s">
        <v>280</v>
      </c>
      <c r="AU2" s="83" t="s">
        <v>281</v>
      </c>
      <c r="AV2" s="83" t="s">
        <v>282</v>
      </c>
      <c r="AW2" s="83" t="s">
        <v>283</v>
      </c>
      <c r="AX2" s="83" t="s">
        <v>284</v>
      </c>
      <c r="AY2" s="83" t="s">
        <v>285</v>
      </c>
      <c r="AZ2" s="83" t="s">
        <v>286</v>
      </c>
      <c r="BA2" s="83" t="s">
        <v>287</v>
      </c>
      <c r="BB2" s="83" t="s">
        <v>288</v>
      </c>
      <c r="BC2" s="83" t="s">
        <v>289</v>
      </c>
      <c r="BD2" s="83" t="s">
        <v>290</v>
      </c>
      <c r="BE2" s="83" t="s">
        <v>291</v>
      </c>
      <c r="BF2" s="83" t="s">
        <v>292</v>
      </c>
      <c r="BG2" s="83" t="s">
        <v>293</v>
      </c>
      <c r="BH2" s="83" t="s">
        <v>294</v>
      </c>
      <c r="BI2" s="83" t="s">
        <v>295</v>
      </c>
      <c r="BJ2" s="83" t="s">
        <v>296</v>
      </c>
      <c r="BK2" s="83" t="s">
        <v>297</v>
      </c>
      <c r="BL2" s="83" t="s">
        <v>298</v>
      </c>
      <c r="BM2" s="83" t="s">
        <v>299</v>
      </c>
      <c r="BN2" s="83" t="s">
        <v>300</v>
      </c>
      <c r="BO2" s="83" t="s">
        <v>301</v>
      </c>
      <c r="BP2" s="83" t="s">
        <v>302</v>
      </c>
      <c r="BQ2" s="83" t="s">
        <v>303</v>
      </c>
      <c r="BR2" s="83" t="s">
        <v>304</v>
      </c>
      <c r="BS2" s="83" t="s">
        <v>305</v>
      </c>
      <c r="BT2" s="83" t="s">
        <v>306</v>
      </c>
      <c r="BU2" s="83" t="s">
        <v>307</v>
      </c>
      <c r="BV2" s="83" t="s">
        <v>308</v>
      </c>
      <c r="BW2" s="83" t="s">
        <v>309</v>
      </c>
      <c r="BX2" s="83" t="s">
        <v>310</v>
      </c>
      <c r="BY2" s="83" t="s">
        <v>311</v>
      </c>
      <c r="BZ2" s="83" t="s">
        <v>312</v>
      </c>
      <c r="CA2" s="83" t="s">
        <v>313</v>
      </c>
      <c r="CB2" s="83" t="s">
        <v>314</v>
      </c>
      <c r="CC2" s="83" t="s">
        <v>315</v>
      </c>
      <c r="CD2" s="83" t="s">
        <v>316</v>
      </c>
      <c r="CE2" s="83" t="s">
        <v>317</v>
      </c>
      <c r="CF2" s="83" t="s">
        <v>318</v>
      </c>
      <c r="CG2" s="83" t="s">
        <v>319</v>
      </c>
      <c r="CH2" s="83" t="s">
        <v>320</v>
      </c>
      <c r="CI2" s="83" t="s">
        <v>321</v>
      </c>
      <c r="CJ2" s="83" t="s">
        <v>322</v>
      </c>
      <c r="CK2" s="83" t="s">
        <v>323</v>
      </c>
      <c r="CL2" s="83" t="s">
        <v>324</v>
      </c>
      <c r="CM2" s="83" t="s">
        <v>325</v>
      </c>
      <c r="CN2" s="83" t="s">
        <v>326</v>
      </c>
      <c r="CO2" s="83" t="s">
        <v>327</v>
      </c>
      <c r="CP2" s="83" t="s">
        <v>328</v>
      </c>
      <c r="CQ2" s="83" t="s">
        <v>329</v>
      </c>
      <c r="CR2" s="83" t="s">
        <v>330</v>
      </c>
      <c r="CS2" s="83" t="s">
        <v>331</v>
      </c>
      <c r="CT2" s="83" t="s">
        <v>332</v>
      </c>
      <c r="CU2" s="83" t="s">
        <v>333</v>
      </c>
      <c r="CV2" s="83" t="s">
        <v>334</v>
      </c>
      <c r="CW2" s="84" t="s">
        <v>335</v>
      </c>
    </row>
    <row r="3" spans="1:101" x14ac:dyDescent="0.25">
      <c r="A3" s="86" t="s">
        <v>336</v>
      </c>
      <c r="CW3" s="87"/>
    </row>
    <row r="4" spans="1:101" x14ac:dyDescent="0.25">
      <c r="A4" s="88" t="s">
        <v>337</v>
      </c>
      <c r="B4" s="89">
        <v>0.84699999999999998</v>
      </c>
      <c r="C4" s="89">
        <v>0.85099999999999998</v>
      </c>
      <c r="D4" s="89">
        <v>0.85599999999999998</v>
      </c>
      <c r="E4" s="89">
        <v>0.85899999999999999</v>
      </c>
      <c r="F4" s="89">
        <v>0.86699999999999999</v>
      </c>
      <c r="G4" s="89">
        <v>0.873</v>
      </c>
      <c r="H4" s="89">
        <v>0.877</v>
      </c>
      <c r="I4" s="89">
        <v>0.879</v>
      </c>
      <c r="J4" s="89">
        <v>0.88600000000000001</v>
      </c>
      <c r="K4" s="89">
        <v>0.88900000000000001</v>
      </c>
      <c r="L4" s="89">
        <v>0.89400000000000002</v>
      </c>
      <c r="M4" s="89">
        <v>0.89600000000000002</v>
      </c>
      <c r="N4" s="89">
        <v>0.90300000000000002</v>
      </c>
      <c r="O4" s="89">
        <v>0.90700000000000003</v>
      </c>
      <c r="P4" s="89">
        <v>0.91200000000000003</v>
      </c>
      <c r="Q4" s="89">
        <v>0.91100000000000003</v>
      </c>
      <c r="R4" s="89">
        <v>0.91800000000000004</v>
      </c>
      <c r="S4" s="89">
        <v>0.92400000000000004</v>
      </c>
      <c r="T4" s="89">
        <v>0.92800000000000005</v>
      </c>
      <c r="U4" s="89">
        <v>0.92900000000000005</v>
      </c>
      <c r="V4" s="89">
        <v>0.93300000000000005</v>
      </c>
      <c r="W4" s="89">
        <v>0.93799999999999994</v>
      </c>
      <c r="X4" s="89">
        <v>0.94299999999999995</v>
      </c>
      <c r="Y4" s="89">
        <v>0.94299999999999995</v>
      </c>
      <c r="Z4" s="89">
        <v>0.94899999999999995</v>
      </c>
      <c r="AA4" s="89">
        <v>0.95599999999999996</v>
      </c>
      <c r="AB4" s="89">
        <v>0.96199999999999997</v>
      </c>
      <c r="AC4" s="89">
        <v>0.96599999999999997</v>
      </c>
      <c r="AD4" s="89">
        <v>0.97399999999999998</v>
      </c>
      <c r="AE4" s="89">
        <v>0.97899999999999998</v>
      </c>
      <c r="AF4" s="89">
        <v>0.98499999999999999</v>
      </c>
      <c r="AG4" s="89">
        <v>0.98799999999999999</v>
      </c>
      <c r="AH4" s="89">
        <v>0.998</v>
      </c>
      <c r="AI4" s="89">
        <v>1.004</v>
      </c>
      <c r="AJ4" s="89">
        <v>1.0089999999999999</v>
      </c>
      <c r="AK4" s="89">
        <v>1.0149999999999999</v>
      </c>
      <c r="AL4" s="89">
        <v>1.0209999999999999</v>
      </c>
      <c r="AM4" s="89">
        <v>1.0269999999999999</v>
      </c>
      <c r="AN4" s="89">
        <v>1.032</v>
      </c>
      <c r="AO4" s="89">
        <v>1.036</v>
      </c>
      <c r="AP4" s="89">
        <v>1.0429999999999999</v>
      </c>
      <c r="AQ4" s="89">
        <v>1.046</v>
      </c>
      <c r="AR4" s="89">
        <v>1.052</v>
      </c>
      <c r="AS4" s="89">
        <v>1.0569999999999999</v>
      </c>
      <c r="AT4" s="89">
        <v>1.07</v>
      </c>
      <c r="AU4" s="89">
        <v>1.081</v>
      </c>
      <c r="AV4" s="89">
        <v>1.0940000000000001</v>
      </c>
      <c r="AW4" s="89">
        <v>1.109</v>
      </c>
      <c r="AX4" s="89">
        <v>1.1279999999999999</v>
      </c>
      <c r="AY4" s="89">
        <v>1.147</v>
      </c>
      <c r="AZ4" s="89">
        <v>1.1619999999999999</v>
      </c>
      <c r="BA4" s="89">
        <v>1.1719999999999999</v>
      </c>
      <c r="BB4" s="89">
        <v>1.1879999999999999</v>
      </c>
      <c r="BC4" s="89">
        <v>1.196</v>
      </c>
      <c r="BD4" s="89">
        <v>1.2090000000000001</v>
      </c>
      <c r="BE4" s="89">
        <v>1.216</v>
      </c>
      <c r="BF4" s="89">
        <v>1.2310000000000001</v>
      </c>
      <c r="BG4" s="89">
        <v>1.2410000000000001</v>
      </c>
      <c r="BH4" s="89">
        <v>1.2509999999999999</v>
      </c>
      <c r="BI4" s="89">
        <v>1.2589999999999999</v>
      </c>
      <c r="BJ4" s="89">
        <v>1.2729999999999999</v>
      </c>
      <c r="BK4" s="89">
        <v>1.2829999999999999</v>
      </c>
      <c r="BL4" s="89">
        <v>1.2949999999999999</v>
      </c>
      <c r="BM4" s="89">
        <v>1.302</v>
      </c>
      <c r="BN4" s="89">
        <v>1.3160000000000001</v>
      </c>
      <c r="BO4" s="89">
        <v>1.325</v>
      </c>
      <c r="BP4" s="89">
        <v>1.335</v>
      </c>
      <c r="BQ4" s="89">
        <v>1.3420000000000001</v>
      </c>
      <c r="BR4" s="89">
        <v>1.357</v>
      </c>
      <c r="BS4" s="89">
        <v>1.365</v>
      </c>
      <c r="BT4" s="89">
        <v>1.375</v>
      </c>
      <c r="BU4" s="89">
        <v>1.3819999999999999</v>
      </c>
      <c r="BV4" s="89">
        <v>1.3959999999999999</v>
      </c>
      <c r="BW4" s="89">
        <v>1.405</v>
      </c>
      <c r="BX4" s="89">
        <v>1.4159999999999999</v>
      </c>
      <c r="BY4" s="89">
        <v>1.423</v>
      </c>
      <c r="BZ4" s="89">
        <v>1.4379999999999999</v>
      </c>
      <c r="CA4" s="89">
        <v>1.4470000000000001</v>
      </c>
      <c r="CB4" s="89">
        <v>1.458</v>
      </c>
      <c r="CC4" s="89">
        <v>1.4650000000000001</v>
      </c>
      <c r="CD4" s="89">
        <v>1.4790000000000001</v>
      </c>
      <c r="CE4" s="89">
        <v>1.4890000000000001</v>
      </c>
      <c r="CF4" s="89">
        <v>1.5009999999999999</v>
      </c>
      <c r="CG4" s="89">
        <v>1.508</v>
      </c>
      <c r="CH4" s="89">
        <v>1.522</v>
      </c>
      <c r="CI4" s="89">
        <v>1.532</v>
      </c>
      <c r="CJ4" s="89">
        <v>1.544</v>
      </c>
      <c r="CK4" s="89">
        <v>1.5509999999999999</v>
      </c>
      <c r="CL4" s="89">
        <v>1.5660000000000001</v>
      </c>
      <c r="CM4" s="89">
        <v>1.5760000000000001</v>
      </c>
      <c r="CN4" s="89">
        <v>1.589</v>
      </c>
      <c r="CO4" s="89">
        <v>1.5960000000000001</v>
      </c>
      <c r="CP4" s="89">
        <v>1.611</v>
      </c>
      <c r="CQ4" s="89">
        <v>1.621</v>
      </c>
      <c r="CR4" s="89">
        <v>1.633</v>
      </c>
      <c r="CS4" s="89">
        <v>1.641</v>
      </c>
      <c r="CT4" s="89">
        <v>1.6559999999999999</v>
      </c>
      <c r="CU4" s="89">
        <v>1.667</v>
      </c>
      <c r="CV4" s="89">
        <v>1.68</v>
      </c>
      <c r="CW4" s="90">
        <v>1.6870000000000001</v>
      </c>
    </row>
    <row r="5" spans="1:101" x14ac:dyDescent="0.25">
      <c r="A5" s="88" t="s">
        <v>338</v>
      </c>
      <c r="B5" s="91">
        <v>1.8</v>
      </c>
      <c r="C5" s="91">
        <v>1.9</v>
      </c>
      <c r="D5" s="91">
        <v>2.2000000000000002</v>
      </c>
      <c r="E5" s="91">
        <v>2.2999999999999998</v>
      </c>
      <c r="F5" s="91">
        <v>2.2999999999999998</v>
      </c>
      <c r="G5" s="91">
        <v>2.4</v>
      </c>
      <c r="H5" s="91">
        <v>2.4</v>
      </c>
      <c r="I5" s="91">
        <v>2.4</v>
      </c>
      <c r="J5" s="91">
        <v>2.4</v>
      </c>
      <c r="K5" s="91">
        <v>2.2000000000000002</v>
      </c>
      <c r="L5" s="91">
        <v>2</v>
      </c>
      <c r="M5" s="91">
        <v>1.9</v>
      </c>
      <c r="N5" s="91">
        <v>1.9</v>
      </c>
      <c r="O5" s="91">
        <v>2</v>
      </c>
      <c r="P5" s="91">
        <v>2</v>
      </c>
      <c r="Q5" s="91">
        <v>1.9</v>
      </c>
      <c r="R5" s="91">
        <v>1.9</v>
      </c>
      <c r="S5" s="91">
        <v>1.8</v>
      </c>
      <c r="T5" s="91">
        <v>1.8</v>
      </c>
      <c r="U5" s="91">
        <v>1.8</v>
      </c>
      <c r="V5" s="91">
        <v>1.8</v>
      </c>
      <c r="W5" s="91">
        <v>1.7</v>
      </c>
      <c r="X5" s="91">
        <v>1.7</v>
      </c>
      <c r="Y5" s="91">
        <v>1.6</v>
      </c>
      <c r="Z5" s="91">
        <v>1.6</v>
      </c>
      <c r="AA5" s="91">
        <v>1.7</v>
      </c>
      <c r="AB5" s="91">
        <v>1.8</v>
      </c>
      <c r="AC5" s="91">
        <v>2</v>
      </c>
      <c r="AD5" s="91">
        <v>2.2000000000000002</v>
      </c>
      <c r="AE5" s="91">
        <v>2.4</v>
      </c>
      <c r="AF5" s="91">
        <v>2.5</v>
      </c>
      <c r="AG5" s="91">
        <v>2.5</v>
      </c>
      <c r="AH5" s="91">
        <v>2.4</v>
      </c>
      <c r="AI5" s="91">
        <v>2.4</v>
      </c>
      <c r="AJ5" s="91">
        <v>2.5</v>
      </c>
      <c r="AK5" s="91">
        <v>2.5</v>
      </c>
      <c r="AL5" s="91">
        <v>2.5</v>
      </c>
      <c r="AM5" s="91">
        <v>2.4</v>
      </c>
      <c r="AN5" s="91">
        <v>2.4</v>
      </c>
      <c r="AO5" s="91">
        <v>2.2000000000000002</v>
      </c>
      <c r="AP5" s="91">
        <v>2.2000000000000002</v>
      </c>
      <c r="AQ5" s="91">
        <v>2.1</v>
      </c>
      <c r="AR5" s="91">
        <v>2</v>
      </c>
      <c r="AS5" s="91">
        <v>2</v>
      </c>
      <c r="AT5" s="91">
        <v>2.1</v>
      </c>
      <c r="AU5" s="91">
        <v>2.5</v>
      </c>
      <c r="AV5" s="91">
        <v>3</v>
      </c>
      <c r="AW5" s="91">
        <v>3.7</v>
      </c>
      <c r="AX5" s="91">
        <v>4.4000000000000004</v>
      </c>
      <c r="AY5" s="91">
        <v>5.0999999999999996</v>
      </c>
      <c r="AZ5" s="91">
        <v>5.7</v>
      </c>
      <c r="BA5" s="91">
        <v>5.9</v>
      </c>
      <c r="BB5" s="91">
        <v>5.8</v>
      </c>
      <c r="BC5" s="91">
        <v>5.3</v>
      </c>
      <c r="BD5" s="91">
        <v>4.8</v>
      </c>
      <c r="BE5" s="91">
        <v>4.3</v>
      </c>
      <c r="BF5" s="91">
        <v>3.9</v>
      </c>
      <c r="BG5" s="91">
        <v>3.8</v>
      </c>
      <c r="BH5" s="91">
        <v>3.6</v>
      </c>
      <c r="BI5" s="91">
        <v>3.6</v>
      </c>
      <c r="BJ5" s="91">
        <v>3.5</v>
      </c>
      <c r="BK5" s="91">
        <v>3.5</v>
      </c>
      <c r="BL5" s="91">
        <v>3.4</v>
      </c>
      <c r="BM5" s="91">
        <v>3.4</v>
      </c>
      <c r="BN5" s="91">
        <v>3.4</v>
      </c>
      <c r="BO5" s="91">
        <v>3.4</v>
      </c>
      <c r="BP5" s="91">
        <v>3.3</v>
      </c>
      <c r="BQ5" s="91">
        <v>3.2</v>
      </c>
      <c r="BR5" s="91">
        <v>3.1</v>
      </c>
      <c r="BS5" s="91">
        <v>3.1</v>
      </c>
      <c r="BT5" s="91">
        <v>3.1</v>
      </c>
      <c r="BU5" s="91">
        <v>3</v>
      </c>
      <c r="BV5" s="91">
        <v>3</v>
      </c>
      <c r="BW5" s="91">
        <v>3</v>
      </c>
      <c r="BX5" s="91">
        <v>2.9</v>
      </c>
      <c r="BY5" s="91">
        <v>3</v>
      </c>
      <c r="BZ5" s="91">
        <v>3</v>
      </c>
      <c r="CA5" s="91">
        <v>3</v>
      </c>
      <c r="CB5" s="91">
        <v>3</v>
      </c>
      <c r="CC5" s="91">
        <v>3</v>
      </c>
      <c r="CD5" s="91">
        <v>2.9</v>
      </c>
      <c r="CE5" s="91">
        <v>2.9</v>
      </c>
      <c r="CF5" s="91">
        <v>2.9</v>
      </c>
      <c r="CG5" s="91">
        <v>2.9</v>
      </c>
      <c r="CH5" s="91">
        <v>2.9</v>
      </c>
      <c r="CI5" s="91">
        <v>2.9</v>
      </c>
      <c r="CJ5" s="91">
        <v>2.9</v>
      </c>
      <c r="CK5" s="91">
        <v>2.9</v>
      </c>
      <c r="CL5" s="91">
        <v>2.9</v>
      </c>
      <c r="CM5" s="91">
        <v>2.9</v>
      </c>
      <c r="CN5" s="91">
        <v>2.9</v>
      </c>
      <c r="CO5" s="91">
        <v>2.9</v>
      </c>
      <c r="CP5" s="91">
        <v>2.8</v>
      </c>
      <c r="CQ5" s="91">
        <v>2.8</v>
      </c>
      <c r="CR5" s="91">
        <v>2.8</v>
      </c>
      <c r="CS5" s="91">
        <v>2.8</v>
      </c>
      <c r="CT5" s="91">
        <v>2.8</v>
      </c>
      <c r="CU5" s="91">
        <v>2.8</v>
      </c>
      <c r="CV5" s="91">
        <v>2.8</v>
      </c>
      <c r="CW5" s="92">
        <v>2.8</v>
      </c>
    </row>
    <row r="6" spans="1:101" x14ac:dyDescent="0.25">
      <c r="A6" s="86" t="s">
        <v>339</v>
      </c>
      <c r="CW6" s="87"/>
    </row>
    <row r="7" spans="1:101" x14ac:dyDescent="0.25">
      <c r="A7" s="88" t="s">
        <v>337</v>
      </c>
      <c r="B7" s="89">
        <v>0.92400000000000004</v>
      </c>
      <c r="C7" s="89">
        <v>0.92800000000000005</v>
      </c>
      <c r="D7" s="89">
        <v>0.92800000000000005</v>
      </c>
      <c r="E7" s="89">
        <v>0.93100000000000005</v>
      </c>
      <c r="F7" s="89">
        <v>0.93200000000000005</v>
      </c>
      <c r="G7" s="89">
        <v>0.93500000000000005</v>
      </c>
      <c r="H7" s="89">
        <v>0.93400000000000005</v>
      </c>
      <c r="I7" s="89">
        <v>0.93700000000000006</v>
      </c>
      <c r="J7" s="89">
        <v>0.93799999999999994</v>
      </c>
      <c r="K7" s="89">
        <v>0.94199999999999995</v>
      </c>
      <c r="L7" s="89">
        <v>0.94099999999999995</v>
      </c>
      <c r="M7" s="89">
        <v>0.94399999999999995</v>
      </c>
      <c r="N7" s="89">
        <v>0.94699999999999995</v>
      </c>
      <c r="O7" s="89">
        <v>0.95099999999999996</v>
      </c>
      <c r="P7" s="89">
        <v>0.95199999999999996</v>
      </c>
      <c r="Q7" s="89">
        <v>0.95499999999999996</v>
      </c>
      <c r="R7" s="89">
        <v>0.95799999999999996</v>
      </c>
      <c r="S7" s="89">
        <v>0.96199999999999997</v>
      </c>
      <c r="T7" s="89">
        <v>0.96299999999999997</v>
      </c>
      <c r="U7" s="89">
        <v>0.96499999999999997</v>
      </c>
      <c r="V7" s="89">
        <v>0.96799999999999997</v>
      </c>
      <c r="W7" s="89">
        <v>0.97099999999999997</v>
      </c>
      <c r="X7" s="89">
        <v>0.97299999999999998</v>
      </c>
      <c r="Y7" s="89">
        <v>0.97499999999999998</v>
      </c>
      <c r="Z7" s="89">
        <v>0.97699999999999998</v>
      </c>
      <c r="AA7" s="89">
        <v>0.98099999999999998</v>
      </c>
      <c r="AB7" s="89">
        <v>0.98099999999999998</v>
      </c>
      <c r="AC7" s="89">
        <v>0.98499999999999999</v>
      </c>
      <c r="AD7" s="89">
        <v>0.98799999999999999</v>
      </c>
      <c r="AE7" s="89">
        <v>0.99099999999999999</v>
      </c>
      <c r="AF7" s="89">
        <v>0.99199999999999999</v>
      </c>
      <c r="AG7" s="89">
        <v>0.996</v>
      </c>
      <c r="AH7" s="89">
        <v>0.999</v>
      </c>
      <c r="AI7" s="89">
        <v>1.002</v>
      </c>
      <c r="AJ7" s="89">
        <v>1.004</v>
      </c>
      <c r="AK7" s="89">
        <v>1.0089999999999999</v>
      </c>
      <c r="AL7" s="89">
        <v>1.012</v>
      </c>
      <c r="AM7" s="89">
        <v>1.0149999999999999</v>
      </c>
      <c r="AN7" s="89">
        <v>1.016</v>
      </c>
      <c r="AO7" s="89">
        <v>1.0209999999999999</v>
      </c>
      <c r="AP7" s="89">
        <v>1.0249999999999999</v>
      </c>
      <c r="AQ7" s="89">
        <v>1.0269999999999999</v>
      </c>
      <c r="AR7" s="89">
        <v>1.026</v>
      </c>
      <c r="AS7" s="89">
        <v>1.03</v>
      </c>
      <c r="AT7" s="89">
        <v>1.0349999999999999</v>
      </c>
      <c r="AU7" s="89">
        <v>1.0369999999999999</v>
      </c>
      <c r="AV7" s="89">
        <v>1.0369999999999999</v>
      </c>
      <c r="AW7" s="89">
        <v>1.044</v>
      </c>
      <c r="AX7" s="89">
        <v>1.052</v>
      </c>
      <c r="AY7" s="89">
        <v>1.06</v>
      </c>
      <c r="AZ7" s="89">
        <v>1.0640000000000001</v>
      </c>
      <c r="BA7" s="89">
        <v>1.075</v>
      </c>
      <c r="BB7" s="89">
        <v>1.0840000000000001</v>
      </c>
      <c r="BC7" s="89">
        <v>1.091</v>
      </c>
      <c r="BD7" s="89">
        <v>1.0960000000000001</v>
      </c>
      <c r="BE7" s="89">
        <v>1.1060000000000001</v>
      </c>
      <c r="BF7" s="89">
        <v>1.1140000000000001</v>
      </c>
      <c r="BG7" s="89">
        <v>1.1220000000000001</v>
      </c>
      <c r="BH7" s="89">
        <v>1.1259999999999999</v>
      </c>
      <c r="BI7" s="89">
        <v>1.1359999999999999</v>
      </c>
      <c r="BJ7" s="89">
        <v>1.1439999999999999</v>
      </c>
      <c r="BK7" s="89">
        <v>1.1519999999999999</v>
      </c>
      <c r="BL7" s="89">
        <v>1.157</v>
      </c>
      <c r="BM7" s="89">
        <v>1.167</v>
      </c>
      <c r="BN7" s="89">
        <v>1.175</v>
      </c>
      <c r="BO7" s="89">
        <v>1.1830000000000001</v>
      </c>
      <c r="BP7" s="89">
        <v>1.1870000000000001</v>
      </c>
      <c r="BQ7" s="89">
        <v>1.1970000000000001</v>
      </c>
      <c r="BR7" s="89">
        <v>1.2050000000000001</v>
      </c>
      <c r="BS7" s="89">
        <v>1.2130000000000001</v>
      </c>
      <c r="BT7" s="89">
        <v>1.218</v>
      </c>
      <c r="BU7" s="89">
        <v>1.228</v>
      </c>
      <c r="BV7" s="89">
        <v>1.236</v>
      </c>
      <c r="BW7" s="89">
        <v>1.2430000000000001</v>
      </c>
      <c r="BX7" s="89">
        <v>1.248</v>
      </c>
      <c r="BY7" s="89">
        <v>1.2589999999999999</v>
      </c>
      <c r="BZ7" s="89">
        <v>1.2669999999999999</v>
      </c>
      <c r="CA7" s="89">
        <v>1.274</v>
      </c>
      <c r="CB7" s="89">
        <v>1.2789999999999999</v>
      </c>
      <c r="CC7" s="89">
        <v>1.29</v>
      </c>
      <c r="CD7" s="89">
        <v>1.298</v>
      </c>
      <c r="CE7" s="89">
        <v>1.306</v>
      </c>
      <c r="CF7" s="89">
        <v>1.3109999999999999</v>
      </c>
      <c r="CG7" s="89">
        <v>1.321</v>
      </c>
      <c r="CH7" s="89">
        <v>1.329</v>
      </c>
      <c r="CI7" s="89">
        <v>1.337</v>
      </c>
      <c r="CJ7" s="89">
        <v>1.3420000000000001</v>
      </c>
      <c r="CK7" s="89">
        <v>1.353</v>
      </c>
      <c r="CL7" s="89">
        <v>1.361</v>
      </c>
      <c r="CM7" s="89">
        <v>1.369</v>
      </c>
      <c r="CN7" s="89">
        <v>1.3740000000000001</v>
      </c>
      <c r="CO7" s="89">
        <v>1.3839999999999999</v>
      </c>
      <c r="CP7" s="89">
        <v>1.3919999999999999</v>
      </c>
      <c r="CQ7" s="89">
        <v>1.399</v>
      </c>
      <c r="CR7" s="89">
        <v>1.405</v>
      </c>
      <c r="CS7" s="89">
        <v>1.4139999999999999</v>
      </c>
      <c r="CT7" s="89">
        <v>1.421</v>
      </c>
      <c r="CU7" s="89">
        <v>1.4279999999999999</v>
      </c>
      <c r="CV7" s="89">
        <v>1.4330000000000001</v>
      </c>
      <c r="CW7" s="90">
        <v>1.4419999999999999</v>
      </c>
    </row>
    <row r="8" spans="1:101" x14ac:dyDescent="0.25">
      <c r="A8" s="88" t="s">
        <v>338</v>
      </c>
      <c r="B8" s="91">
        <v>0.7</v>
      </c>
      <c r="C8" s="91">
        <v>0.7</v>
      </c>
      <c r="D8" s="91">
        <v>0.6</v>
      </c>
      <c r="E8" s="91">
        <v>0.6</v>
      </c>
      <c r="F8" s="91">
        <v>0.7</v>
      </c>
      <c r="G8" s="91">
        <v>0.7</v>
      </c>
      <c r="H8" s="91">
        <v>0.7</v>
      </c>
      <c r="I8" s="91">
        <v>0.8</v>
      </c>
      <c r="J8" s="91">
        <v>0.7</v>
      </c>
      <c r="K8" s="91">
        <v>0.7</v>
      </c>
      <c r="L8" s="91">
        <v>0.8</v>
      </c>
      <c r="M8" s="91">
        <v>0.8</v>
      </c>
      <c r="N8" s="91">
        <v>0.8</v>
      </c>
      <c r="O8" s="91">
        <v>0.8</v>
      </c>
      <c r="P8" s="91">
        <v>0.9</v>
      </c>
      <c r="Q8" s="91">
        <v>1</v>
      </c>
      <c r="R8" s="91">
        <v>1.1000000000000001</v>
      </c>
      <c r="S8" s="91">
        <v>1.2</v>
      </c>
      <c r="T8" s="91">
        <v>1.1000000000000001</v>
      </c>
      <c r="U8" s="91">
        <v>1.1000000000000001</v>
      </c>
      <c r="V8" s="91">
        <v>1.1000000000000001</v>
      </c>
      <c r="W8" s="91">
        <v>1</v>
      </c>
      <c r="X8" s="91">
        <v>1</v>
      </c>
      <c r="Y8" s="91">
        <v>1</v>
      </c>
      <c r="Z8" s="91">
        <v>1</v>
      </c>
      <c r="AA8" s="91">
        <v>1</v>
      </c>
      <c r="AB8" s="91">
        <v>1</v>
      </c>
      <c r="AC8" s="91">
        <v>1</v>
      </c>
      <c r="AD8" s="91">
        <v>1</v>
      </c>
      <c r="AE8" s="91">
        <v>1</v>
      </c>
      <c r="AF8" s="91">
        <v>1</v>
      </c>
      <c r="AG8" s="91">
        <v>1.1000000000000001</v>
      </c>
      <c r="AH8" s="91">
        <v>1.1000000000000001</v>
      </c>
      <c r="AI8" s="91">
        <v>1.1000000000000001</v>
      </c>
      <c r="AJ8" s="91">
        <v>1.1000000000000001</v>
      </c>
      <c r="AK8" s="91">
        <v>1.2</v>
      </c>
      <c r="AL8" s="91">
        <v>1.3</v>
      </c>
      <c r="AM8" s="91">
        <v>1.3</v>
      </c>
      <c r="AN8" s="91">
        <v>1.3</v>
      </c>
      <c r="AO8" s="91">
        <v>1.3</v>
      </c>
      <c r="AP8" s="91">
        <v>1.3</v>
      </c>
      <c r="AQ8" s="91">
        <v>1.2</v>
      </c>
      <c r="AR8" s="91">
        <v>1.2</v>
      </c>
      <c r="AS8" s="91">
        <v>1.1000000000000001</v>
      </c>
      <c r="AT8" s="91">
        <v>1</v>
      </c>
      <c r="AU8" s="91">
        <v>1</v>
      </c>
      <c r="AV8" s="91">
        <v>1</v>
      </c>
      <c r="AW8" s="91">
        <v>1.1000000000000001</v>
      </c>
      <c r="AX8" s="91">
        <v>1.3</v>
      </c>
      <c r="AY8" s="91">
        <v>1.6</v>
      </c>
      <c r="AZ8" s="91">
        <v>2</v>
      </c>
      <c r="BA8" s="91">
        <v>2.2999999999999998</v>
      </c>
      <c r="BB8" s="91">
        <v>2.7</v>
      </c>
      <c r="BC8" s="91">
        <v>2.9</v>
      </c>
      <c r="BD8" s="91">
        <v>3</v>
      </c>
      <c r="BE8" s="91">
        <v>3</v>
      </c>
      <c r="BF8" s="91">
        <v>2.9</v>
      </c>
      <c r="BG8" s="91">
        <v>2.9</v>
      </c>
      <c r="BH8" s="91">
        <v>2.8</v>
      </c>
      <c r="BI8" s="91">
        <v>2.8</v>
      </c>
      <c r="BJ8" s="91">
        <v>2.8</v>
      </c>
      <c r="BK8" s="91">
        <v>2.7</v>
      </c>
      <c r="BL8" s="91">
        <v>2.7</v>
      </c>
      <c r="BM8" s="91">
        <v>2.7</v>
      </c>
      <c r="BN8" s="91">
        <v>2.7</v>
      </c>
      <c r="BO8" s="91">
        <v>2.7</v>
      </c>
      <c r="BP8" s="91">
        <v>2.7</v>
      </c>
      <c r="BQ8" s="91">
        <v>2.6</v>
      </c>
      <c r="BR8" s="91">
        <v>2.6</v>
      </c>
      <c r="BS8" s="91">
        <v>2.6</v>
      </c>
      <c r="BT8" s="91">
        <v>2.6</v>
      </c>
      <c r="BU8" s="91">
        <v>2.6</v>
      </c>
      <c r="BV8" s="91">
        <v>2.6</v>
      </c>
      <c r="BW8" s="91">
        <v>2.5</v>
      </c>
      <c r="BX8" s="91">
        <v>2.5</v>
      </c>
      <c r="BY8" s="91">
        <v>2.5</v>
      </c>
      <c r="BZ8" s="91">
        <v>2.5</v>
      </c>
      <c r="CA8" s="91">
        <v>2.5</v>
      </c>
      <c r="CB8" s="91">
        <v>2.5</v>
      </c>
      <c r="CC8" s="91">
        <v>2.5</v>
      </c>
      <c r="CD8" s="91">
        <v>2.5</v>
      </c>
      <c r="CE8" s="91">
        <v>2.5</v>
      </c>
      <c r="CF8" s="91">
        <v>2.5</v>
      </c>
      <c r="CG8" s="91">
        <v>2.4</v>
      </c>
      <c r="CH8" s="91">
        <v>2.4</v>
      </c>
      <c r="CI8" s="91">
        <v>2.4</v>
      </c>
      <c r="CJ8" s="91">
        <v>2.4</v>
      </c>
      <c r="CK8" s="91">
        <v>2.4</v>
      </c>
      <c r="CL8" s="91">
        <v>2.4</v>
      </c>
      <c r="CM8" s="91">
        <v>2.4</v>
      </c>
      <c r="CN8" s="91">
        <v>2.4</v>
      </c>
      <c r="CO8" s="91">
        <v>2.4</v>
      </c>
      <c r="CP8" s="91">
        <v>2.2999999999999998</v>
      </c>
      <c r="CQ8" s="91">
        <v>2.2999999999999998</v>
      </c>
      <c r="CR8" s="91">
        <v>2.2999999999999998</v>
      </c>
      <c r="CS8" s="91">
        <v>2.2000000000000002</v>
      </c>
      <c r="CT8" s="91">
        <v>2.2000000000000002</v>
      </c>
      <c r="CU8" s="91">
        <v>2.1</v>
      </c>
      <c r="CV8" s="91">
        <v>2.1</v>
      </c>
      <c r="CW8" s="92">
        <v>2</v>
      </c>
    </row>
    <row r="9" spans="1:101" x14ac:dyDescent="0.25">
      <c r="A9" s="86" t="s">
        <v>340</v>
      </c>
      <c r="CW9" s="87"/>
    </row>
    <row r="10" spans="1:101" x14ac:dyDescent="0.25">
      <c r="A10" s="88" t="s">
        <v>337</v>
      </c>
      <c r="B10" s="89">
        <v>0.748</v>
      </c>
      <c r="C10" s="89">
        <v>0.751</v>
      </c>
      <c r="D10" s="89">
        <v>0.754</v>
      </c>
      <c r="E10" s="89">
        <v>0.755</v>
      </c>
      <c r="F10" s="89">
        <v>0.76100000000000001</v>
      </c>
      <c r="G10" s="89">
        <v>0.76700000000000002</v>
      </c>
      <c r="H10" s="89">
        <v>0.77</v>
      </c>
      <c r="I10" s="89">
        <v>0.76900000000000002</v>
      </c>
      <c r="J10" s="89">
        <v>0.77400000000000002</v>
      </c>
      <c r="K10" s="89">
        <v>0.77700000000000002</v>
      </c>
      <c r="L10" s="89">
        <v>0.78</v>
      </c>
      <c r="M10" s="89">
        <v>0.78</v>
      </c>
      <c r="N10" s="89">
        <v>0.78500000000000003</v>
      </c>
      <c r="O10" s="89">
        <v>0.78800000000000003</v>
      </c>
      <c r="P10" s="89">
        <v>0.79</v>
      </c>
      <c r="Q10" s="89">
        <v>0.79</v>
      </c>
      <c r="R10" s="89">
        <v>0.79500000000000004</v>
      </c>
      <c r="S10" s="89">
        <v>0.79900000000000004</v>
      </c>
      <c r="T10" s="89">
        <v>0.80400000000000005</v>
      </c>
      <c r="U10" s="89">
        <v>0.80500000000000005</v>
      </c>
      <c r="V10" s="89">
        <v>0.80800000000000005</v>
      </c>
      <c r="W10" s="89">
        <v>0.81399999999999995</v>
      </c>
      <c r="X10" s="89">
        <v>0.81899999999999995</v>
      </c>
      <c r="Y10" s="89">
        <v>0.82</v>
      </c>
      <c r="Z10" s="89">
        <v>0.82399999999999995</v>
      </c>
      <c r="AA10" s="89">
        <v>0.82899999999999996</v>
      </c>
      <c r="AB10" s="89">
        <v>0.83499999999999996</v>
      </c>
      <c r="AC10" s="89">
        <v>0.83799999999999997</v>
      </c>
      <c r="AD10" s="89">
        <v>0.84399999999999997</v>
      </c>
      <c r="AE10" s="89">
        <v>0.85</v>
      </c>
      <c r="AF10" s="89">
        <v>0.85499999999999998</v>
      </c>
      <c r="AG10" s="89">
        <v>0.85899999999999999</v>
      </c>
      <c r="AH10" s="89">
        <v>0.86699999999999999</v>
      </c>
      <c r="AI10" s="89">
        <v>0.872</v>
      </c>
      <c r="AJ10" s="89">
        <v>0.877</v>
      </c>
      <c r="AK10" s="89">
        <v>0.88200000000000001</v>
      </c>
      <c r="AL10" s="89">
        <v>0.88600000000000001</v>
      </c>
      <c r="AM10" s="89">
        <v>0.89200000000000002</v>
      </c>
      <c r="AN10" s="89">
        <v>0.89500000000000002</v>
      </c>
      <c r="AO10" s="89">
        <v>0.89800000000000002</v>
      </c>
      <c r="AP10" s="89">
        <v>0.90500000000000003</v>
      </c>
      <c r="AQ10" s="89">
        <v>0.90900000000000003</v>
      </c>
      <c r="AR10" s="89">
        <v>0.91500000000000004</v>
      </c>
      <c r="AS10" s="89">
        <v>0.92100000000000004</v>
      </c>
      <c r="AT10" s="89">
        <v>0.93200000000000005</v>
      </c>
      <c r="AU10" s="89">
        <v>0.94399999999999995</v>
      </c>
      <c r="AV10" s="89">
        <v>0.96</v>
      </c>
      <c r="AW10" s="89">
        <v>0.97299999999999998</v>
      </c>
      <c r="AX10" s="89">
        <v>0.99</v>
      </c>
      <c r="AY10" s="89">
        <v>1.01</v>
      </c>
      <c r="AZ10" s="89">
        <v>1.0269999999999999</v>
      </c>
      <c r="BA10" s="89">
        <v>1.038</v>
      </c>
      <c r="BB10" s="89">
        <v>1.05</v>
      </c>
      <c r="BC10" s="89">
        <v>1.06</v>
      </c>
      <c r="BD10" s="89">
        <v>1.0740000000000001</v>
      </c>
      <c r="BE10" s="89">
        <v>1.08</v>
      </c>
      <c r="BF10" s="89">
        <v>1.0900000000000001</v>
      </c>
      <c r="BG10" s="89">
        <v>1.1000000000000001</v>
      </c>
      <c r="BH10" s="89">
        <v>1.105</v>
      </c>
      <c r="BI10" s="89">
        <v>1.1100000000000001</v>
      </c>
      <c r="BJ10" s="89">
        <v>1.121</v>
      </c>
      <c r="BK10" s="89">
        <v>1.1299999999999999</v>
      </c>
      <c r="BL10" s="89">
        <v>1.139</v>
      </c>
      <c r="BM10" s="89">
        <v>1.1439999999999999</v>
      </c>
      <c r="BN10" s="89">
        <v>1.155</v>
      </c>
      <c r="BO10" s="89">
        <v>1.1639999999999999</v>
      </c>
      <c r="BP10" s="89">
        <v>1.173</v>
      </c>
      <c r="BQ10" s="89">
        <v>1.179</v>
      </c>
      <c r="BR10" s="89">
        <v>1.19</v>
      </c>
      <c r="BS10" s="89">
        <v>1.1990000000000001</v>
      </c>
      <c r="BT10" s="89">
        <v>1.208</v>
      </c>
      <c r="BU10" s="89">
        <v>1.214</v>
      </c>
      <c r="BV10" s="89">
        <v>1.224</v>
      </c>
      <c r="BW10" s="89">
        <v>1.2330000000000001</v>
      </c>
      <c r="BX10" s="89">
        <v>1.242</v>
      </c>
      <c r="BY10" s="89">
        <v>1.248</v>
      </c>
      <c r="BZ10" s="89">
        <v>1.2589999999999999</v>
      </c>
      <c r="CA10" s="89">
        <v>1.2669999999999999</v>
      </c>
      <c r="CB10" s="89">
        <v>1.2769999999999999</v>
      </c>
      <c r="CC10" s="89">
        <v>1.282</v>
      </c>
      <c r="CD10" s="89">
        <v>1.294</v>
      </c>
      <c r="CE10" s="89">
        <v>1.3029999999999999</v>
      </c>
      <c r="CF10" s="89">
        <v>1.3129999999999999</v>
      </c>
      <c r="CG10" s="89">
        <v>1.3180000000000001</v>
      </c>
      <c r="CH10" s="89">
        <v>1.33</v>
      </c>
      <c r="CI10" s="89">
        <v>1.339</v>
      </c>
      <c r="CJ10" s="89">
        <v>1.349</v>
      </c>
      <c r="CK10" s="89">
        <v>1.3540000000000001</v>
      </c>
      <c r="CL10" s="89">
        <v>1.3660000000000001</v>
      </c>
      <c r="CM10" s="89">
        <v>1.375</v>
      </c>
      <c r="CN10" s="89">
        <v>1.385</v>
      </c>
      <c r="CO10" s="89">
        <v>1.39</v>
      </c>
      <c r="CP10" s="89">
        <v>1.4019999999999999</v>
      </c>
      <c r="CQ10" s="89">
        <v>1.411</v>
      </c>
      <c r="CR10" s="89">
        <v>1.421</v>
      </c>
      <c r="CS10" s="89">
        <v>1.427</v>
      </c>
      <c r="CT10" s="89">
        <v>1.4390000000000001</v>
      </c>
      <c r="CU10" s="89">
        <v>1.4490000000000001</v>
      </c>
      <c r="CV10" s="89">
        <v>1.4590000000000001</v>
      </c>
      <c r="CW10" s="90">
        <v>1.4650000000000001</v>
      </c>
    </row>
    <row r="11" spans="1:101" x14ac:dyDescent="0.25">
      <c r="A11" s="88" t="s">
        <v>338</v>
      </c>
      <c r="B11" s="91" t="s">
        <v>341</v>
      </c>
      <c r="C11" s="91" t="s">
        <v>341</v>
      </c>
      <c r="D11" s="91" t="s">
        <v>341</v>
      </c>
      <c r="E11" s="91" t="s">
        <v>341</v>
      </c>
      <c r="F11" s="91" t="s">
        <v>341</v>
      </c>
      <c r="G11" s="91">
        <v>1.7</v>
      </c>
      <c r="H11" s="91">
        <v>1.8</v>
      </c>
      <c r="I11" s="91">
        <v>1.9</v>
      </c>
      <c r="J11" s="91">
        <v>1.9</v>
      </c>
      <c r="K11" s="91">
        <v>1.7</v>
      </c>
      <c r="L11" s="91">
        <v>1.6</v>
      </c>
      <c r="M11" s="91">
        <v>1.4</v>
      </c>
      <c r="N11" s="91">
        <v>1.3</v>
      </c>
      <c r="O11" s="91">
        <v>1.4</v>
      </c>
      <c r="P11" s="91">
        <v>1.4</v>
      </c>
      <c r="Q11" s="91">
        <v>1.4</v>
      </c>
      <c r="R11" s="91">
        <v>1.3</v>
      </c>
      <c r="S11" s="91">
        <v>1.3</v>
      </c>
      <c r="T11" s="91">
        <v>1.4</v>
      </c>
      <c r="U11" s="91">
        <v>1.6</v>
      </c>
      <c r="V11" s="91">
        <v>1.7</v>
      </c>
      <c r="W11" s="91">
        <v>1.8</v>
      </c>
      <c r="X11" s="91">
        <v>1.8</v>
      </c>
      <c r="Y11" s="91">
        <v>1.8</v>
      </c>
      <c r="Z11" s="91">
        <v>1.9</v>
      </c>
      <c r="AA11" s="91">
        <v>1.9</v>
      </c>
      <c r="AB11" s="91">
        <v>1.9</v>
      </c>
      <c r="AC11" s="91">
        <v>2</v>
      </c>
      <c r="AD11" s="91">
        <v>2.1</v>
      </c>
      <c r="AE11" s="91">
        <v>2.2999999999999998</v>
      </c>
      <c r="AF11" s="91">
        <v>2.4</v>
      </c>
      <c r="AG11" s="91">
        <v>2.5</v>
      </c>
      <c r="AH11" s="91">
        <v>2.5</v>
      </c>
      <c r="AI11" s="91">
        <v>2.5</v>
      </c>
      <c r="AJ11" s="91">
        <v>2.5</v>
      </c>
      <c r="AK11" s="91">
        <v>2.6</v>
      </c>
      <c r="AL11" s="91">
        <v>2.5</v>
      </c>
      <c r="AM11" s="91">
        <v>2.4</v>
      </c>
      <c r="AN11" s="91">
        <v>2.2999999999999998</v>
      </c>
      <c r="AO11" s="91">
        <v>2.1</v>
      </c>
      <c r="AP11" s="91">
        <v>2</v>
      </c>
      <c r="AQ11" s="91">
        <v>2</v>
      </c>
      <c r="AR11" s="91">
        <v>2</v>
      </c>
      <c r="AS11" s="91">
        <v>2.2000000000000002</v>
      </c>
      <c r="AT11" s="91">
        <v>2.5</v>
      </c>
      <c r="AU11" s="91">
        <v>2.9</v>
      </c>
      <c r="AV11" s="91">
        <v>3.6</v>
      </c>
      <c r="AW11" s="91">
        <v>4.4000000000000004</v>
      </c>
      <c r="AX11" s="91">
        <v>5.2</v>
      </c>
      <c r="AY11" s="91">
        <v>5.9</v>
      </c>
      <c r="AZ11" s="91">
        <v>6.5</v>
      </c>
      <c r="BA11" s="91">
        <v>6.7</v>
      </c>
      <c r="BB11" s="91">
        <v>6.7</v>
      </c>
      <c r="BC11" s="91">
        <v>6.2</v>
      </c>
      <c r="BD11" s="91">
        <v>5.6</v>
      </c>
      <c r="BE11" s="91">
        <v>4.9000000000000004</v>
      </c>
      <c r="BF11" s="91">
        <v>4.3</v>
      </c>
      <c r="BG11" s="91">
        <v>4</v>
      </c>
      <c r="BH11" s="91">
        <v>3.6</v>
      </c>
      <c r="BI11" s="91">
        <v>3.3</v>
      </c>
      <c r="BJ11" s="91">
        <v>3.1</v>
      </c>
      <c r="BK11" s="91">
        <v>2.8</v>
      </c>
      <c r="BL11" s="91">
        <v>2.9</v>
      </c>
      <c r="BM11" s="91">
        <v>3</v>
      </c>
      <c r="BN11" s="91">
        <v>3</v>
      </c>
      <c r="BO11" s="91">
        <v>3</v>
      </c>
      <c r="BP11" s="91">
        <v>3</v>
      </c>
      <c r="BQ11" s="91">
        <v>3</v>
      </c>
      <c r="BR11" s="91">
        <v>3</v>
      </c>
      <c r="BS11" s="91">
        <v>3</v>
      </c>
      <c r="BT11" s="91">
        <v>3</v>
      </c>
      <c r="BU11" s="91">
        <v>3</v>
      </c>
      <c r="BV11" s="91">
        <v>3</v>
      </c>
      <c r="BW11" s="91">
        <v>2.9</v>
      </c>
      <c r="BX11" s="91">
        <v>2.9</v>
      </c>
      <c r="BY11" s="91">
        <v>2.8</v>
      </c>
      <c r="BZ11" s="91">
        <v>2.8</v>
      </c>
      <c r="CA11" s="91">
        <v>2.8</v>
      </c>
      <c r="CB11" s="91">
        <v>2.8</v>
      </c>
      <c r="CC11" s="91">
        <v>2.8</v>
      </c>
      <c r="CD11" s="91">
        <v>2.8</v>
      </c>
      <c r="CE11" s="91">
        <v>2.8</v>
      </c>
      <c r="CF11" s="91">
        <v>2.8</v>
      </c>
      <c r="CG11" s="91">
        <v>2.8</v>
      </c>
      <c r="CH11" s="91">
        <v>2.8</v>
      </c>
      <c r="CI11" s="91">
        <v>2.8</v>
      </c>
      <c r="CJ11" s="91">
        <v>2.8</v>
      </c>
      <c r="CK11" s="91">
        <v>2.8</v>
      </c>
      <c r="CL11" s="91">
        <v>2.7</v>
      </c>
      <c r="CM11" s="91">
        <v>2.7</v>
      </c>
      <c r="CN11" s="91">
        <v>2.7</v>
      </c>
      <c r="CO11" s="91">
        <v>2.7</v>
      </c>
      <c r="CP11" s="91">
        <v>2.7</v>
      </c>
      <c r="CQ11" s="91">
        <v>2.7</v>
      </c>
      <c r="CR11" s="91">
        <v>2.7</v>
      </c>
      <c r="CS11" s="91">
        <v>2.6</v>
      </c>
      <c r="CT11" s="91">
        <v>2.6</v>
      </c>
      <c r="CU11" s="91">
        <v>2.6</v>
      </c>
      <c r="CV11" s="91">
        <v>2.7</v>
      </c>
      <c r="CW11" s="92">
        <v>2.7</v>
      </c>
    </row>
    <row r="12" spans="1:101" x14ac:dyDescent="0.25">
      <c r="A12" s="86" t="s">
        <v>342</v>
      </c>
      <c r="CW12" s="87"/>
    </row>
    <row r="13" spans="1:101" x14ac:dyDescent="0.25">
      <c r="A13" s="88" t="s">
        <v>337</v>
      </c>
      <c r="B13" s="89">
        <v>0.78900000000000003</v>
      </c>
      <c r="C13" s="89">
        <v>0.79200000000000004</v>
      </c>
      <c r="D13" s="89">
        <v>0.79600000000000004</v>
      </c>
      <c r="E13" s="89">
        <v>0.79800000000000004</v>
      </c>
      <c r="F13" s="89">
        <v>0.80300000000000005</v>
      </c>
      <c r="G13" s="89">
        <v>0.80800000000000005</v>
      </c>
      <c r="H13" s="89">
        <v>0.81200000000000006</v>
      </c>
      <c r="I13" s="89">
        <v>0.81299999999999994</v>
      </c>
      <c r="J13" s="89">
        <v>0.81899999999999995</v>
      </c>
      <c r="K13" s="89">
        <v>0.82299999999999995</v>
      </c>
      <c r="L13" s="89">
        <v>0.82499999999999996</v>
      </c>
      <c r="M13" s="89">
        <v>0.82699999999999996</v>
      </c>
      <c r="N13" s="89">
        <v>0.83199999999999996</v>
      </c>
      <c r="O13" s="89">
        <v>0.83599999999999997</v>
      </c>
      <c r="P13" s="89">
        <v>0.83899999999999997</v>
      </c>
      <c r="Q13" s="89">
        <v>0.84099999999999997</v>
      </c>
      <c r="R13" s="89">
        <v>0.84499999999999997</v>
      </c>
      <c r="S13" s="89">
        <v>0.85</v>
      </c>
      <c r="T13" s="89">
        <v>0.85299999999999998</v>
      </c>
      <c r="U13" s="89">
        <v>0.85499999999999998</v>
      </c>
      <c r="V13" s="89">
        <v>0.85799999999999998</v>
      </c>
      <c r="W13" s="89">
        <v>0.86199999999999999</v>
      </c>
      <c r="X13" s="89">
        <v>0.86599999999999999</v>
      </c>
      <c r="Y13" s="89">
        <v>0.86699999999999999</v>
      </c>
      <c r="Z13" s="89">
        <v>0.872</v>
      </c>
      <c r="AA13" s="89">
        <v>0.877</v>
      </c>
      <c r="AB13" s="89">
        <v>0.88200000000000001</v>
      </c>
      <c r="AC13" s="89">
        <v>0.88500000000000001</v>
      </c>
      <c r="AD13" s="89">
        <v>0.89100000000000001</v>
      </c>
      <c r="AE13" s="89">
        <v>0.89600000000000002</v>
      </c>
      <c r="AF13" s="89">
        <v>0.9</v>
      </c>
      <c r="AG13" s="89">
        <v>0.90400000000000003</v>
      </c>
      <c r="AH13" s="89">
        <v>0.91200000000000003</v>
      </c>
      <c r="AI13" s="89">
        <v>0.91800000000000004</v>
      </c>
      <c r="AJ13" s="89">
        <v>0.92400000000000004</v>
      </c>
      <c r="AK13" s="89">
        <v>0.93</v>
      </c>
      <c r="AL13" s="89">
        <v>0.93500000000000005</v>
      </c>
      <c r="AM13" s="89">
        <v>0.94099999999999995</v>
      </c>
      <c r="AN13" s="89">
        <v>0.94599999999999995</v>
      </c>
      <c r="AO13" s="89">
        <v>0.95099999999999996</v>
      </c>
      <c r="AP13" s="89">
        <v>0.95799999999999996</v>
      </c>
      <c r="AQ13" s="89">
        <v>0.95699999999999996</v>
      </c>
      <c r="AR13" s="89">
        <v>0.96499999999999997</v>
      </c>
      <c r="AS13" s="89">
        <v>0.97</v>
      </c>
      <c r="AT13" s="89">
        <v>0.98</v>
      </c>
      <c r="AU13" s="89">
        <v>0.99199999999999999</v>
      </c>
      <c r="AV13" s="89">
        <v>1.006</v>
      </c>
      <c r="AW13" s="89">
        <v>1.022</v>
      </c>
      <c r="AX13" s="89">
        <v>1.0389999999999999</v>
      </c>
      <c r="AY13" s="89">
        <v>1.0549999999999999</v>
      </c>
      <c r="AZ13" s="89">
        <v>1.07</v>
      </c>
      <c r="BA13" s="89">
        <v>1.0820000000000001</v>
      </c>
      <c r="BB13" s="89">
        <v>1.0960000000000001</v>
      </c>
      <c r="BC13" s="89">
        <v>1.1060000000000001</v>
      </c>
      <c r="BD13" s="89">
        <v>1.119</v>
      </c>
      <c r="BE13" s="89">
        <v>1.1259999999999999</v>
      </c>
      <c r="BF13" s="89">
        <v>1.141</v>
      </c>
      <c r="BG13" s="89">
        <v>1.151</v>
      </c>
      <c r="BH13" s="89">
        <v>1.161</v>
      </c>
      <c r="BI13" s="89">
        <v>1.17</v>
      </c>
      <c r="BJ13" s="89">
        <v>1.1819999999999999</v>
      </c>
      <c r="BK13" s="89">
        <v>1.1919999999999999</v>
      </c>
      <c r="BL13" s="89">
        <v>1.2030000000000001</v>
      </c>
      <c r="BM13" s="89">
        <v>1.208</v>
      </c>
      <c r="BN13" s="89">
        <v>1.22</v>
      </c>
      <c r="BO13" s="89">
        <v>1.2290000000000001</v>
      </c>
      <c r="BP13" s="89">
        <v>1.24</v>
      </c>
      <c r="BQ13" s="89">
        <v>1.2450000000000001</v>
      </c>
      <c r="BR13" s="89">
        <v>1.2569999999999999</v>
      </c>
      <c r="BS13" s="89">
        <v>1.266</v>
      </c>
      <c r="BT13" s="89">
        <v>1.2769999999999999</v>
      </c>
      <c r="BU13" s="89">
        <v>1.2809999999999999</v>
      </c>
      <c r="BV13" s="89">
        <v>1.292</v>
      </c>
      <c r="BW13" s="89">
        <v>1.302</v>
      </c>
      <c r="BX13" s="89">
        <v>1.3129999999999999</v>
      </c>
      <c r="BY13" s="89">
        <v>1.3169999999999999</v>
      </c>
      <c r="BZ13" s="89">
        <v>1.329</v>
      </c>
      <c r="CA13" s="89">
        <v>1.339</v>
      </c>
      <c r="CB13" s="89">
        <v>1.35</v>
      </c>
      <c r="CC13" s="89">
        <v>1.355</v>
      </c>
      <c r="CD13" s="89">
        <v>1.367</v>
      </c>
      <c r="CE13" s="89">
        <v>1.377</v>
      </c>
      <c r="CF13" s="89">
        <v>1.3879999999999999</v>
      </c>
      <c r="CG13" s="89">
        <v>1.3939999999999999</v>
      </c>
      <c r="CH13" s="89">
        <v>1.405</v>
      </c>
      <c r="CI13" s="89">
        <v>1.4159999999999999</v>
      </c>
      <c r="CJ13" s="89">
        <v>1.4279999999999999</v>
      </c>
      <c r="CK13" s="89">
        <v>1.4330000000000001</v>
      </c>
      <c r="CL13" s="89">
        <v>1.4450000000000001</v>
      </c>
      <c r="CM13" s="89">
        <v>1.456</v>
      </c>
      <c r="CN13" s="89">
        <v>1.4670000000000001</v>
      </c>
      <c r="CO13" s="89">
        <v>1.472</v>
      </c>
      <c r="CP13" s="89">
        <v>1.4850000000000001</v>
      </c>
      <c r="CQ13" s="89">
        <v>1.496</v>
      </c>
      <c r="CR13" s="89">
        <v>1.508</v>
      </c>
      <c r="CS13" s="89">
        <v>1.5129999999999999</v>
      </c>
      <c r="CT13" s="89">
        <v>1.526</v>
      </c>
      <c r="CU13" s="89">
        <v>1.5369999999999999</v>
      </c>
      <c r="CV13" s="89">
        <v>1.5489999999999999</v>
      </c>
      <c r="CW13" s="90">
        <v>1.5549999999999999</v>
      </c>
    </row>
    <row r="14" spans="1:101" x14ac:dyDescent="0.25">
      <c r="A14" s="88" t="s">
        <v>338</v>
      </c>
      <c r="B14" s="91" t="s">
        <v>341</v>
      </c>
      <c r="C14" s="91" t="s">
        <v>341</v>
      </c>
      <c r="D14" s="91" t="s">
        <v>341</v>
      </c>
      <c r="E14" s="91" t="s">
        <v>341</v>
      </c>
      <c r="F14" s="91" t="s">
        <v>341</v>
      </c>
      <c r="G14" s="91" t="s">
        <v>341</v>
      </c>
      <c r="H14" s="91" t="s">
        <v>341</v>
      </c>
      <c r="I14" s="91">
        <v>1.9</v>
      </c>
      <c r="J14" s="91">
        <v>2</v>
      </c>
      <c r="K14" s="91">
        <v>1.9</v>
      </c>
      <c r="L14" s="91">
        <v>1.8</v>
      </c>
      <c r="M14" s="91">
        <v>1.8</v>
      </c>
      <c r="N14" s="91">
        <v>1.7</v>
      </c>
      <c r="O14" s="91">
        <v>1.6</v>
      </c>
      <c r="P14" s="91">
        <v>1.6</v>
      </c>
      <c r="Q14" s="91">
        <v>1.6</v>
      </c>
      <c r="R14" s="91">
        <v>1.6</v>
      </c>
      <c r="S14" s="91">
        <v>1.7</v>
      </c>
      <c r="T14" s="91">
        <v>1.6</v>
      </c>
      <c r="U14" s="91">
        <v>1.6</v>
      </c>
      <c r="V14" s="91">
        <v>1.6</v>
      </c>
      <c r="W14" s="91">
        <v>1.6</v>
      </c>
      <c r="X14" s="91">
        <v>1.5</v>
      </c>
      <c r="Y14" s="91">
        <v>1.5</v>
      </c>
      <c r="Z14" s="91">
        <v>1.5</v>
      </c>
      <c r="AA14" s="91">
        <v>1.6</v>
      </c>
      <c r="AB14" s="91">
        <v>1.7</v>
      </c>
      <c r="AC14" s="91">
        <v>1.8</v>
      </c>
      <c r="AD14" s="91">
        <v>2</v>
      </c>
      <c r="AE14" s="91">
        <v>2.1</v>
      </c>
      <c r="AF14" s="91">
        <v>2.1</v>
      </c>
      <c r="AG14" s="91">
        <v>2.2000000000000002</v>
      </c>
      <c r="AH14" s="91">
        <v>2.2000000000000002</v>
      </c>
      <c r="AI14" s="91">
        <v>2.2999999999999998</v>
      </c>
      <c r="AJ14" s="91">
        <v>2.4</v>
      </c>
      <c r="AK14" s="91">
        <v>2.6</v>
      </c>
      <c r="AL14" s="91">
        <v>2.6</v>
      </c>
      <c r="AM14" s="91">
        <v>2.6</v>
      </c>
      <c r="AN14" s="91">
        <v>2.5</v>
      </c>
      <c r="AO14" s="91">
        <v>2.4</v>
      </c>
      <c r="AP14" s="91">
        <v>2.4</v>
      </c>
      <c r="AQ14" s="91">
        <v>2.2000000000000002</v>
      </c>
      <c r="AR14" s="91">
        <v>2.1</v>
      </c>
      <c r="AS14" s="91">
        <v>2.1</v>
      </c>
      <c r="AT14" s="91">
        <v>2</v>
      </c>
      <c r="AU14" s="91">
        <v>2.5</v>
      </c>
      <c r="AV14" s="91">
        <v>3.1</v>
      </c>
      <c r="AW14" s="91">
        <v>3.9</v>
      </c>
      <c r="AX14" s="91">
        <v>4.8</v>
      </c>
      <c r="AY14" s="91">
        <v>5.5</v>
      </c>
      <c r="AZ14" s="91">
        <v>6</v>
      </c>
      <c r="BA14" s="91">
        <v>6.2</v>
      </c>
      <c r="BB14" s="91">
        <v>6</v>
      </c>
      <c r="BC14" s="91">
        <v>5.6</v>
      </c>
      <c r="BD14" s="91">
        <v>5.2</v>
      </c>
      <c r="BE14" s="91">
        <v>4.7</v>
      </c>
      <c r="BF14" s="91">
        <v>4.4000000000000004</v>
      </c>
      <c r="BG14" s="91">
        <v>4.2</v>
      </c>
      <c r="BH14" s="91">
        <v>4</v>
      </c>
      <c r="BI14" s="91">
        <v>4</v>
      </c>
      <c r="BJ14" s="91">
        <v>3.8</v>
      </c>
      <c r="BK14" s="91">
        <v>3.7</v>
      </c>
      <c r="BL14" s="91">
        <v>3.6</v>
      </c>
      <c r="BM14" s="91">
        <v>3.5</v>
      </c>
      <c r="BN14" s="91">
        <v>3.4</v>
      </c>
      <c r="BO14" s="91">
        <v>3.3</v>
      </c>
      <c r="BP14" s="91">
        <v>3.2</v>
      </c>
      <c r="BQ14" s="91">
        <v>3.1</v>
      </c>
      <c r="BR14" s="91">
        <v>3.1</v>
      </c>
      <c r="BS14" s="91">
        <v>3</v>
      </c>
      <c r="BT14" s="91">
        <v>3</v>
      </c>
      <c r="BU14" s="91">
        <v>3</v>
      </c>
      <c r="BV14" s="91">
        <v>2.9</v>
      </c>
      <c r="BW14" s="91">
        <v>2.9</v>
      </c>
      <c r="BX14" s="91">
        <v>2.9</v>
      </c>
      <c r="BY14" s="91">
        <v>2.8</v>
      </c>
      <c r="BZ14" s="91">
        <v>2.8</v>
      </c>
      <c r="CA14" s="91">
        <v>2.8</v>
      </c>
      <c r="CB14" s="91">
        <v>2.8</v>
      </c>
      <c r="CC14" s="91">
        <v>2.8</v>
      </c>
      <c r="CD14" s="91">
        <v>2.9</v>
      </c>
      <c r="CE14" s="91">
        <v>2.9</v>
      </c>
      <c r="CF14" s="91">
        <v>2.8</v>
      </c>
      <c r="CG14" s="91">
        <v>2.8</v>
      </c>
      <c r="CH14" s="91">
        <v>2.8</v>
      </c>
      <c r="CI14" s="91">
        <v>2.8</v>
      </c>
      <c r="CJ14" s="91">
        <v>2.8</v>
      </c>
      <c r="CK14" s="91">
        <v>2.8</v>
      </c>
      <c r="CL14" s="91">
        <v>2.8</v>
      </c>
      <c r="CM14" s="91">
        <v>2.8</v>
      </c>
      <c r="CN14" s="91">
        <v>2.8</v>
      </c>
      <c r="CO14" s="91">
        <v>2.8</v>
      </c>
      <c r="CP14" s="91">
        <v>2.8</v>
      </c>
      <c r="CQ14" s="91">
        <v>2.8</v>
      </c>
      <c r="CR14" s="91">
        <v>2.8</v>
      </c>
      <c r="CS14" s="91">
        <v>2.8</v>
      </c>
      <c r="CT14" s="91">
        <v>2.8</v>
      </c>
      <c r="CU14" s="91">
        <v>2.8</v>
      </c>
      <c r="CV14" s="91">
        <v>2.8</v>
      </c>
      <c r="CW14" s="92">
        <v>2.8</v>
      </c>
    </row>
    <row r="15" spans="1:101" x14ac:dyDescent="0.25">
      <c r="A15" s="93" t="s">
        <v>343</v>
      </c>
      <c r="CW15" s="87"/>
    </row>
    <row r="16" spans="1:101" x14ac:dyDescent="0.25">
      <c r="A16" s="88" t="s">
        <v>337</v>
      </c>
      <c r="B16" s="89">
        <v>0.79700000000000004</v>
      </c>
      <c r="C16" s="89">
        <v>0.80100000000000005</v>
      </c>
      <c r="D16" s="89">
        <v>0.80500000000000005</v>
      </c>
      <c r="E16" s="89">
        <v>0.80800000000000005</v>
      </c>
      <c r="F16" s="89">
        <v>0.81399999999999995</v>
      </c>
      <c r="G16" s="89">
        <v>0.81899999999999995</v>
      </c>
      <c r="H16" s="89">
        <v>0.82299999999999995</v>
      </c>
      <c r="I16" s="89">
        <v>0.82399999999999995</v>
      </c>
      <c r="J16" s="89">
        <v>0.83</v>
      </c>
      <c r="K16" s="89">
        <v>0.83299999999999996</v>
      </c>
      <c r="L16" s="89">
        <v>0.83599999999999997</v>
      </c>
      <c r="M16" s="89">
        <v>0.83899999999999997</v>
      </c>
      <c r="N16" s="89">
        <v>0.84399999999999997</v>
      </c>
      <c r="O16" s="89">
        <v>0.84799999999999998</v>
      </c>
      <c r="P16" s="89">
        <v>0.85199999999999998</v>
      </c>
      <c r="Q16" s="89">
        <v>0.85299999999999998</v>
      </c>
      <c r="R16" s="89">
        <v>0.85799999999999998</v>
      </c>
      <c r="S16" s="89">
        <v>0.86299999999999999</v>
      </c>
      <c r="T16" s="89">
        <v>0.86599999999999999</v>
      </c>
      <c r="U16" s="89">
        <v>0.86799999999999999</v>
      </c>
      <c r="V16" s="89">
        <v>0.871</v>
      </c>
      <c r="W16" s="89">
        <v>0.876</v>
      </c>
      <c r="X16" s="89">
        <v>0.88</v>
      </c>
      <c r="Y16" s="89">
        <v>0.88200000000000001</v>
      </c>
      <c r="Z16" s="89">
        <v>0.88700000000000001</v>
      </c>
      <c r="AA16" s="89">
        <v>0.89300000000000002</v>
      </c>
      <c r="AB16" s="89">
        <v>0.89700000000000002</v>
      </c>
      <c r="AC16" s="89">
        <v>0.90200000000000002</v>
      </c>
      <c r="AD16" s="89">
        <v>0.90900000000000003</v>
      </c>
      <c r="AE16" s="89">
        <v>0.91300000000000003</v>
      </c>
      <c r="AF16" s="89">
        <v>0.91800000000000004</v>
      </c>
      <c r="AG16" s="89">
        <v>0.92200000000000004</v>
      </c>
      <c r="AH16" s="89">
        <v>0.92900000000000005</v>
      </c>
      <c r="AI16" s="89">
        <v>0.93500000000000005</v>
      </c>
      <c r="AJ16" s="89">
        <v>0.93899999999999995</v>
      </c>
      <c r="AK16" s="89">
        <v>0.94499999999999995</v>
      </c>
      <c r="AL16" s="89">
        <v>0.95099999999999996</v>
      </c>
      <c r="AM16" s="89">
        <v>0.95599999999999996</v>
      </c>
      <c r="AN16" s="89">
        <v>0.96099999999999997</v>
      </c>
      <c r="AO16" s="89">
        <v>0.96599999999999997</v>
      </c>
      <c r="AP16" s="89">
        <v>0.97199999999999998</v>
      </c>
      <c r="AQ16" s="89">
        <v>0.97499999999999998</v>
      </c>
      <c r="AR16" s="89">
        <v>0.98</v>
      </c>
      <c r="AS16" s="89">
        <v>0.98399999999999999</v>
      </c>
      <c r="AT16" s="89">
        <v>0.995</v>
      </c>
      <c r="AU16" s="89">
        <v>1.004</v>
      </c>
      <c r="AV16" s="89">
        <v>1.016</v>
      </c>
      <c r="AW16" s="89">
        <v>1.03</v>
      </c>
      <c r="AX16" s="89">
        <v>1.046</v>
      </c>
      <c r="AY16" s="89">
        <v>1.0609999999999999</v>
      </c>
      <c r="AZ16" s="89">
        <v>1.075</v>
      </c>
      <c r="BA16" s="89">
        <v>1.0860000000000001</v>
      </c>
      <c r="BB16" s="89">
        <v>1.1000000000000001</v>
      </c>
      <c r="BC16" s="89">
        <v>1.109</v>
      </c>
      <c r="BD16" s="89">
        <v>1.121</v>
      </c>
      <c r="BE16" s="89">
        <v>1.129</v>
      </c>
      <c r="BF16" s="89">
        <v>1.143</v>
      </c>
      <c r="BG16" s="89">
        <v>1.1519999999999999</v>
      </c>
      <c r="BH16" s="89">
        <v>1.1619999999999999</v>
      </c>
      <c r="BI16" s="89">
        <v>1.17</v>
      </c>
      <c r="BJ16" s="89">
        <v>1.1830000000000001</v>
      </c>
      <c r="BK16" s="89">
        <v>1.1930000000000001</v>
      </c>
      <c r="BL16" s="89">
        <v>1.204</v>
      </c>
      <c r="BM16" s="89">
        <v>1.212</v>
      </c>
      <c r="BN16" s="89">
        <v>1.224</v>
      </c>
      <c r="BO16" s="89">
        <v>1.232</v>
      </c>
      <c r="BP16" s="89">
        <v>1.242</v>
      </c>
      <c r="BQ16" s="89">
        <v>1.2490000000000001</v>
      </c>
      <c r="BR16" s="89">
        <v>1.262</v>
      </c>
      <c r="BS16" s="89">
        <v>1.27</v>
      </c>
      <c r="BT16" s="89">
        <v>1.2789999999999999</v>
      </c>
      <c r="BU16" s="89">
        <v>1.2869999999999999</v>
      </c>
      <c r="BV16" s="89">
        <v>1.2989999999999999</v>
      </c>
      <c r="BW16" s="89">
        <v>1.3069999999999999</v>
      </c>
      <c r="BX16" s="89">
        <v>1.3169999999999999</v>
      </c>
      <c r="BY16" s="89">
        <v>1.325</v>
      </c>
      <c r="BZ16" s="89">
        <v>1.337</v>
      </c>
      <c r="CA16" s="89">
        <v>1.3460000000000001</v>
      </c>
      <c r="CB16" s="89">
        <v>1.3560000000000001</v>
      </c>
      <c r="CC16" s="89">
        <v>1.3640000000000001</v>
      </c>
      <c r="CD16" s="89">
        <v>1.3759999999999999</v>
      </c>
      <c r="CE16" s="89">
        <v>1.385</v>
      </c>
      <c r="CF16" s="89">
        <v>1.395</v>
      </c>
      <c r="CG16" s="89">
        <v>1.403</v>
      </c>
      <c r="CH16" s="89">
        <v>1.4159999999999999</v>
      </c>
      <c r="CI16" s="89">
        <v>1.425</v>
      </c>
      <c r="CJ16" s="89">
        <v>1.4350000000000001</v>
      </c>
      <c r="CK16" s="89">
        <v>1.4430000000000001</v>
      </c>
      <c r="CL16" s="89">
        <v>1.456</v>
      </c>
      <c r="CM16" s="89">
        <v>1.4650000000000001</v>
      </c>
      <c r="CN16" s="89">
        <v>1.476</v>
      </c>
      <c r="CO16" s="89">
        <v>1.484</v>
      </c>
      <c r="CP16" s="89">
        <v>1.4970000000000001</v>
      </c>
      <c r="CQ16" s="89">
        <v>1.506</v>
      </c>
      <c r="CR16" s="89">
        <v>1.5169999999999999</v>
      </c>
      <c r="CS16" s="89">
        <v>1.526</v>
      </c>
      <c r="CT16" s="89">
        <v>1.5389999999999999</v>
      </c>
      <c r="CU16" s="89">
        <v>1.5489999999999999</v>
      </c>
      <c r="CV16" s="89">
        <v>1.56</v>
      </c>
      <c r="CW16" s="90">
        <v>1.5680000000000001</v>
      </c>
    </row>
    <row r="17" spans="1:101" x14ac:dyDescent="0.25">
      <c r="A17" s="88" t="s">
        <v>338</v>
      </c>
      <c r="B17" s="91">
        <v>1.8</v>
      </c>
      <c r="C17" s="91">
        <v>1.9</v>
      </c>
      <c r="D17" s="91">
        <v>2</v>
      </c>
      <c r="E17" s="91">
        <v>2</v>
      </c>
      <c r="F17" s="91">
        <v>2.1</v>
      </c>
      <c r="G17" s="91">
        <v>2.1</v>
      </c>
      <c r="H17" s="91">
        <v>2.2000000000000002</v>
      </c>
      <c r="I17" s="91">
        <v>2.1</v>
      </c>
      <c r="J17" s="91">
        <v>2.1</v>
      </c>
      <c r="K17" s="91">
        <v>1.9</v>
      </c>
      <c r="L17" s="91">
        <v>1.8</v>
      </c>
      <c r="M17" s="91">
        <v>1.8</v>
      </c>
      <c r="N17" s="91">
        <v>1.7</v>
      </c>
      <c r="O17" s="91">
        <v>1.7</v>
      </c>
      <c r="P17" s="91">
        <v>1.8</v>
      </c>
      <c r="Q17" s="91">
        <v>1.8</v>
      </c>
      <c r="R17" s="91">
        <v>1.8</v>
      </c>
      <c r="S17" s="91">
        <v>1.7</v>
      </c>
      <c r="T17" s="91">
        <v>1.7</v>
      </c>
      <c r="U17" s="91">
        <v>1.7</v>
      </c>
      <c r="V17" s="91">
        <v>1.7</v>
      </c>
      <c r="W17" s="91">
        <v>1.6</v>
      </c>
      <c r="X17" s="91">
        <v>1.6</v>
      </c>
      <c r="Y17" s="91">
        <v>1.6</v>
      </c>
      <c r="Z17" s="91">
        <v>1.6</v>
      </c>
      <c r="AA17" s="91">
        <v>1.7</v>
      </c>
      <c r="AB17" s="91">
        <v>1.8</v>
      </c>
      <c r="AC17" s="91">
        <v>2</v>
      </c>
      <c r="AD17" s="91">
        <v>2.2000000000000002</v>
      </c>
      <c r="AE17" s="91">
        <v>2.2999999999999998</v>
      </c>
      <c r="AF17" s="91">
        <v>2.2999999999999998</v>
      </c>
      <c r="AG17" s="91">
        <v>2.2999999999999998</v>
      </c>
      <c r="AH17" s="91">
        <v>2.2999999999999998</v>
      </c>
      <c r="AI17" s="91">
        <v>2.2999999999999998</v>
      </c>
      <c r="AJ17" s="91">
        <v>2.2999999999999998</v>
      </c>
      <c r="AK17" s="91">
        <v>2.4</v>
      </c>
      <c r="AL17" s="91">
        <v>2.4</v>
      </c>
      <c r="AM17" s="91">
        <v>2.4</v>
      </c>
      <c r="AN17" s="91">
        <v>2.4</v>
      </c>
      <c r="AO17" s="91">
        <v>2.2999999999999998</v>
      </c>
      <c r="AP17" s="91">
        <v>2.2000000000000002</v>
      </c>
      <c r="AQ17" s="91">
        <v>2.2000000000000002</v>
      </c>
      <c r="AR17" s="91">
        <v>2.1</v>
      </c>
      <c r="AS17" s="91">
        <v>2</v>
      </c>
      <c r="AT17" s="91">
        <v>2.1</v>
      </c>
      <c r="AU17" s="91">
        <v>2.2999999999999998</v>
      </c>
      <c r="AV17" s="91">
        <v>2.8</v>
      </c>
      <c r="AW17" s="91">
        <v>3.4</v>
      </c>
      <c r="AX17" s="91">
        <v>4.0999999999999996</v>
      </c>
      <c r="AY17" s="91">
        <v>4.8</v>
      </c>
      <c r="AZ17" s="91">
        <v>5.3</v>
      </c>
      <c r="BA17" s="91">
        <v>5.5</v>
      </c>
      <c r="BB17" s="91">
        <v>5.5</v>
      </c>
      <c r="BC17" s="91">
        <v>5.2</v>
      </c>
      <c r="BD17" s="91">
        <v>4.8</v>
      </c>
      <c r="BE17" s="91">
        <v>4.5</v>
      </c>
      <c r="BF17" s="91">
        <v>4.2</v>
      </c>
      <c r="BG17" s="91">
        <v>4</v>
      </c>
      <c r="BH17" s="91">
        <v>3.8</v>
      </c>
      <c r="BI17" s="91">
        <v>3.8</v>
      </c>
      <c r="BJ17" s="91">
        <v>3.7</v>
      </c>
      <c r="BK17" s="91">
        <v>3.6</v>
      </c>
      <c r="BL17" s="91">
        <v>3.6</v>
      </c>
      <c r="BM17" s="91">
        <v>3.5</v>
      </c>
      <c r="BN17" s="91">
        <v>3.5</v>
      </c>
      <c r="BO17" s="91">
        <v>3.5</v>
      </c>
      <c r="BP17" s="91">
        <v>3.4</v>
      </c>
      <c r="BQ17" s="91">
        <v>3.3</v>
      </c>
      <c r="BR17" s="91">
        <v>3.2</v>
      </c>
      <c r="BS17" s="91">
        <v>3.1</v>
      </c>
      <c r="BT17" s="91">
        <v>3.1</v>
      </c>
      <c r="BU17" s="91">
        <v>3</v>
      </c>
      <c r="BV17" s="91">
        <v>3</v>
      </c>
      <c r="BW17" s="91">
        <v>3</v>
      </c>
      <c r="BX17" s="91">
        <v>3</v>
      </c>
      <c r="BY17" s="91">
        <v>3</v>
      </c>
      <c r="BZ17" s="91">
        <v>3</v>
      </c>
      <c r="CA17" s="91">
        <v>3</v>
      </c>
      <c r="CB17" s="91">
        <v>3</v>
      </c>
      <c r="CC17" s="91">
        <v>2.9</v>
      </c>
      <c r="CD17" s="91">
        <v>2.9</v>
      </c>
      <c r="CE17" s="91">
        <v>2.9</v>
      </c>
      <c r="CF17" s="91">
        <v>2.9</v>
      </c>
      <c r="CG17" s="91">
        <v>2.9</v>
      </c>
      <c r="CH17" s="91">
        <v>2.9</v>
      </c>
      <c r="CI17" s="91">
        <v>2.9</v>
      </c>
      <c r="CJ17" s="91">
        <v>2.9</v>
      </c>
      <c r="CK17" s="91">
        <v>2.9</v>
      </c>
      <c r="CL17" s="91">
        <v>2.9</v>
      </c>
      <c r="CM17" s="91">
        <v>2.9</v>
      </c>
      <c r="CN17" s="91">
        <v>2.8</v>
      </c>
      <c r="CO17" s="91">
        <v>2.8</v>
      </c>
      <c r="CP17" s="91">
        <v>2.8</v>
      </c>
      <c r="CQ17" s="91">
        <v>2.8</v>
      </c>
      <c r="CR17" s="91">
        <v>2.8</v>
      </c>
      <c r="CS17" s="91">
        <v>2.8</v>
      </c>
      <c r="CT17" s="91">
        <v>2.8</v>
      </c>
      <c r="CU17" s="91">
        <v>2.8</v>
      </c>
      <c r="CV17" s="91">
        <v>2.8</v>
      </c>
      <c r="CW17" s="92">
        <v>2.8</v>
      </c>
    </row>
    <row r="18" spans="1:101" x14ac:dyDescent="0.25">
      <c r="A18" s="93" t="s">
        <v>344</v>
      </c>
      <c r="CW18" s="87"/>
    </row>
    <row r="19" spans="1:101" x14ac:dyDescent="0.25">
      <c r="A19" s="88" t="s">
        <v>337</v>
      </c>
      <c r="B19" s="89">
        <v>0.79500000000000004</v>
      </c>
      <c r="C19" s="89">
        <v>0.79900000000000004</v>
      </c>
      <c r="D19" s="89">
        <v>0.80200000000000005</v>
      </c>
      <c r="E19" s="89">
        <v>0.80500000000000005</v>
      </c>
      <c r="F19" s="89">
        <v>0.81200000000000006</v>
      </c>
      <c r="G19" s="89">
        <v>0.81599999999999995</v>
      </c>
      <c r="H19" s="89">
        <v>0.81899999999999995</v>
      </c>
      <c r="I19" s="89">
        <v>0.82099999999999995</v>
      </c>
      <c r="J19" s="89">
        <v>0.82699999999999996</v>
      </c>
      <c r="K19" s="89">
        <v>0.83099999999999996</v>
      </c>
      <c r="L19" s="89">
        <v>0.83399999999999996</v>
      </c>
      <c r="M19" s="89">
        <v>0.83599999999999997</v>
      </c>
      <c r="N19" s="89">
        <v>0.84099999999999997</v>
      </c>
      <c r="O19" s="89">
        <v>0.84499999999999997</v>
      </c>
      <c r="P19" s="89">
        <v>0.84899999999999998</v>
      </c>
      <c r="Q19" s="89">
        <v>0.85</v>
      </c>
      <c r="R19" s="89">
        <v>0.85499999999999998</v>
      </c>
      <c r="S19" s="89">
        <v>0.86</v>
      </c>
      <c r="T19" s="89">
        <v>0.86399999999999999</v>
      </c>
      <c r="U19" s="89">
        <v>0.86599999999999999</v>
      </c>
      <c r="V19" s="89">
        <v>0.87</v>
      </c>
      <c r="W19" s="89">
        <v>0.874</v>
      </c>
      <c r="X19" s="89">
        <v>0.878</v>
      </c>
      <c r="Y19" s="89">
        <v>0.88</v>
      </c>
      <c r="Z19" s="89">
        <v>0.88500000000000001</v>
      </c>
      <c r="AA19" s="89">
        <v>0.89</v>
      </c>
      <c r="AB19" s="89">
        <v>0.89500000000000002</v>
      </c>
      <c r="AC19" s="89">
        <v>0.89900000000000002</v>
      </c>
      <c r="AD19" s="89">
        <v>0.90600000000000003</v>
      </c>
      <c r="AE19" s="89">
        <v>0.91100000000000003</v>
      </c>
      <c r="AF19" s="89">
        <v>0.91500000000000004</v>
      </c>
      <c r="AG19" s="89">
        <v>0.91900000000000004</v>
      </c>
      <c r="AH19" s="89">
        <v>0.92800000000000005</v>
      </c>
      <c r="AI19" s="89">
        <v>0.93300000000000005</v>
      </c>
      <c r="AJ19" s="89">
        <v>0.93899999999999995</v>
      </c>
      <c r="AK19" s="89">
        <v>0.94399999999999995</v>
      </c>
      <c r="AL19" s="89">
        <v>0.95</v>
      </c>
      <c r="AM19" s="89">
        <v>0.95599999999999996</v>
      </c>
      <c r="AN19" s="89">
        <v>0.96099999999999997</v>
      </c>
      <c r="AO19" s="89">
        <v>0.96499999999999997</v>
      </c>
      <c r="AP19" s="89">
        <v>0.97199999999999998</v>
      </c>
      <c r="AQ19" s="89">
        <v>0.97299999999999998</v>
      </c>
      <c r="AR19" s="89">
        <v>0.98</v>
      </c>
      <c r="AS19" s="89">
        <v>0.98499999999999999</v>
      </c>
      <c r="AT19" s="89">
        <v>0.995</v>
      </c>
      <c r="AU19" s="89">
        <v>1.004</v>
      </c>
      <c r="AV19" s="89">
        <v>1.0169999999999999</v>
      </c>
      <c r="AW19" s="89">
        <v>1.0289999999999999</v>
      </c>
      <c r="AX19" s="89">
        <v>1.046</v>
      </c>
      <c r="AY19" s="89">
        <v>1.0620000000000001</v>
      </c>
      <c r="AZ19" s="89">
        <v>1.075</v>
      </c>
      <c r="BA19" s="89">
        <v>1.085</v>
      </c>
      <c r="BB19" s="89">
        <v>1.099</v>
      </c>
      <c r="BC19" s="89">
        <v>1.1080000000000001</v>
      </c>
      <c r="BD19" s="89">
        <v>1.1200000000000001</v>
      </c>
      <c r="BE19" s="89">
        <v>1.127</v>
      </c>
      <c r="BF19" s="89">
        <v>1.141</v>
      </c>
      <c r="BG19" s="89">
        <v>1.151</v>
      </c>
      <c r="BH19" s="89">
        <v>1.1599999999999999</v>
      </c>
      <c r="BI19" s="89">
        <v>1.1679999999999999</v>
      </c>
      <c r="BJ19" s="89">
        <v>1.18</v>
      </c>
      <c r="BK19" s="89">
        <v>1.19</v>
      </c>
      <c r="BL19" s="89">
        <v>1.1990000000000001</v>
      </c>
      <c r="BM19" s="89">
        <v>1.206</v>
      </c>
      <c r="BN19" s="89">
        <v>1.2190000000000001</v>
      </c>
      <c r="BO19" s="89">
        <v>1.2270000000000001</v>
      </c>
      <c r="BP19" s="89">
        <v>1.236</v>
      </c>
      <c r="BQ19" s="89">
        <v>1.2430000000000001</v>
      </c>
      <c r="BR19" s="89">
        <v>1.256</v>
      </c>
      <c r="BS19" s="89">
        <v>1.2649999999999999</v>
      </c>
      <c r="BT19" s="89">
        <v>1.2729999999999999</v>
      </c>
      <c r="BU19" s="89">
        <v>1.28</v>
      </c>
      <c r="BV19" s="89">
        <v>1.2929999999999999</v>
      </c>
      <c r="BW19" s="89">
        <v>1.302</v>
      </c>
      <c r="BX19" s="89">
        <v>1.3109999999999999</v>
      </c>
      <c r="BY19" s="89">
        <v>1.3180000000000001</v>
      </c>
      <c r="BZ19" s="89">
        <v>1.331</v>
      </c>
      <c r="CA19" s="89">
        <v>1.34</v>
      </c>
      <c r="CB19" s="89">
        <v>1.349</v>
      </c>
      <c r="CC19" s="89">
        <v>1.357</v>
      </c>
      <c r="CD19" s="89">
        <v>1.369</v>
      </c>
      <c r="CE19" s="89">
        <v>1.379</v>
      </c>
      <c r="CF19" s="89">
        <v>1.389</v>
      </c>
      <c r="CG19" s="89">
        <v>1.3959999999999999</v>
      </c>
      <c r="CH19" s="89">
        <v>1.409</v>
      </c>
      <c r="CI19" s="89">
        <v>1.4179999999999999</v>
      </c>
      <c r="CJ19" s="89">
        <v>1.4279999999999999</v>
      </c>
      <c r="CK19" s="89">
        <v>1.4359999999999999</v>
      </c>
      <c r="CL19" s="89">
        <v>1.4490000000000001</v>
      </c>
      <c r="CM19" s="89">
        <v>1.4590000000000001</v>
      </c>
      <c r="CN19" s="89">
        <v>1.4690000000000001</v>
      </c>
      <c r="CO19" s="89">
        <v>1.476</v>
      </c>
      <c r="CP19" s="89">
        <v>1.49</v>
      </c>
      <c r="CQ19" s="89">
        <v>1.4990000000000001</v>
      </c>
      <c r="CR19" s="89">
        <v>1.51</v>
      </c>
      <c r="CS19" s="89">
        <v>1.518</v>
      </c>
      <c r="CT19" s="89">
        <v>1.532</v>
      </c>
      <c r="CU19" s="89">
        <v>1.542</v>
      </c>
      <c r="CV19" s="89">
        <v>1.5529999999999999</v>
      </c>
      <c r="CW19" s="90">
        <v>1.5609999999999999</v>
      </c>
    </row>
    <row r="20" spans="1:101" x14ac:dyDescent="0.25">
      <c r="A20" s="88" t="s">
        <v>338</v>
      </c>
      <c r="B20" s="91">
        <v>1.6</v>
      </c>
      <c r="C20" s="91">
        <v>1.7</v>
      </c>
      <c r="D20" s="91">
        <v>1.8</v>
      </c>
      <c r="E20" s="91">
        <v>1.9</v>
      </c>
      <c r="F20" s="91">
        <v>1.9</v>
      </c>
      <c r="G20" s="91">
        <v>2</v>
      </c>
      <c r="H20" s="91">
        <v>2</v>
      </c>
      <c r="I20" s="91">
        <v>2</v>
      </c>
      <c r="J20" s="91">
        <v>2</v>
      </c>
      <c r="K20" s="91">
        <v>1.9</v>
      </c>
      <c r="L20" s="91">
        <v>1.8</v>
      </c>
      <c r="M20" s="91">
        <v>1.8</v>
      </c>
      <c r="N20" s="91">
        <v>1.8</v>
      </c>
      <c r="O20" s="91">
        <v>1.8</v>
      </c>
      <c r="P20" s="91">
        <v>1.8</v>
      </c>
      <c r="Q20" s="91">
        <v>1.8</v>
      </c>
      <c r="R20" s="91">
        <v>1.7</v>
      </c>
      <c r="S20" s="91">
        <v>1.7</v>
      </c>
      <c r="T20" s="91">
        <v>1.7</v>
      </c>
      <c r="U20" s="91">
        <v>1.7</v>
      </c>
      <c r="V20" s="91">
        <v>1.8</v>
      </c>
      <c r="W20" s="91">
        <v>1.7</v>
      </c>
      <c r="X20" s="91">
        <v>1.7</v>
      </c>
      <c r="Y20" s="91">
        <v>1.6</v>
      </c>
      <c r="Z20" s="91">
        <v>1.6</v>
      </c>
      <c r="AA20" s="91">
        <v>1.7</v>
      </c>
      <c r="AB20" s="91">
        <v>1.8</v>
      </c>
      <c r="AC20" s="91">
        <v>1.9</v>
      </c>
      <c r="AD20" s="91">
        <v>2.1</v>
      </c>
      <c r="AE20" s="91">
        <v>2.2000000000000002</v>
      </c>
      <c r="AF20" s="91">
        <v>2.2999999999999998</v>
      </c>
      <c r="AG20" s="91">
        <v>2.2999999999999998</v>
      </c>
      <c r="AH20" s="91">
        <v>2.2999999999999998</v>
      </c>
      <c r="AI20" s="91">
        <v>2.4</v>
      </c>
      <c r="AJ20" s="91">
        <v>2.4</v>
      </c>
      <c r="AK20" s="91">
        <v>2.6</v>
      </c>
      <c r="AL20" s="91">
        <v>2.5</v>
      </c>
      <c r="AM20" s="91">
        <v>2.5</v>
      </c>
      <c r="AN20" s="91">
        <v>2.4</v>
      </c>
      <c r="AO20" s="91">
        <v>2.2999999999999998</v>
      </c>
      <c r="AP20" s="91">
        <v>2.2999999999999998</v>
      </c>
      <c r="AQ20" s="91">
        <v>2.2000000000000002</v>
      </c>
      <c r="AR20" s="91">
        <v>2.1</v>
      </c>
      <c r="AS20" s="91">
        <v>2.1</v>
      </c>
      <c r="AT20" s="91">
        <v>2.1</v>
      </c>
      <c r="AU20" s="91">
        <v>2.4</v>
      </c>
      <c r="AV20" s="91">
        <v>2.8</v>
      </c>
      <c r="AW20" s="91">
        <v>3.5</v>
      </c>
      <c r="AX20" s="91">
        <v>4.0999999999999996</v>
      </c>
      <c r="AY20" s="91">
        <v>4.8</v>
      </c>
      <c r="AZ20" s="91">
        <v>5.3</v>
      </c>
      <c r="BA20" s="91">
        <v>5.5</v>
      </c>
      <c r="BB20" s="91">
        <v>5.5</v>
      </c>
      <c r="BC20" s="91">
        <v>5.0999999999999996</v>
      </c>
      <c r="BD20" s="91">
        <v>4.8</v>
      </c>
      <c r="BE20" s="91">
        <v>4.4000000000000004</v>
      </c>
      <c r="BF20" s="91">
        <v>4.0999999999999996</v>
      </c>
      <c r="BG20" s="91">
        <v>3.9</v>
      </c>
      <c r="BH20" s="91">
        <v>3.8</v>
      </c>
      <c r="BI20" s="91">
        <v>3.7</v>
      </c>
      <c r="BJ20" s="91">
        <v>3.6</v>
      </c>
      <c r="BK20" s="91">
        <v>3.5</v>
      </c>
      <c r="BL20" s="91">
        <v>3.5</v>
      </c>
      <c r="BM20" s="91">
        <v>3.4</v>
      </c>
      <c r="BN20" s="91">
        <v>3.3</v>
      </c>
      <c r="BO20" s="91">
        <v>3.3</v>
      </c>
      <c r="BP20" s="91">
        <v>3.2</v>
      </c>
      <c r="BQ20" s="91">
        <v>3.1</v>
      </c>
      <c r="BR20" s="91">
        <v>3.1</v>
      </c>
      <c r="BS20" s="91">
        <v>3.1</v>
      </c>
      <c r="BT20" s="91">
        <v>3.1</v>
      </c>
      <c r="BU20" s="91">
        <v>3</v>
      </c>
      <c r="BV20" s="91">
        <v>3</v>
      </c>
      <c r="BW20" s="91">
        <v>3</v>
      </c>
      <c r="BX20" s="91">
        <v>2.9</v>
      </c>
      <c r="BY20" s="91">
        <v>2.9</v>
      </c>
      <c r="BZ20" s="91">
        <v>2.9</v>
      </c>
      <c r="CA20" s="91">
        <v>2.9</v>
      </c>
      <c r="CB20" s="91">
        <v>2.9</v>
      </c>
      <c r="CC20" s="91">
        <v>2.9</v>
      </c>
      <c r="CD20" s="91">
        <v>2.9</v>
      </c>
      <c r="CE20" s="91">
        <v>2.9</v>
      </c>
      <c r="CF20" s="91">
        <v>2.9</v>
      </c>
      <c r="CG20" s="91">
        <v>2.9</v>
      </c>
      <c r="CH20" s="91">
        <v>2.9</v>
      </c>
      <c r="CI20" s="91">
        <v>2.9</v>
      </c>
      <c r="CJ20" s="91">
        <v>2.9</v>
      </c>
      <c r="CK20" s="91">
        <v>2.9</v>
      </c>
      <c r="CL20" s="91">
        <v>2.9</v>
      </c>
      <c r="CM20" s="91">
        <v>2.9</v>
      </c>
      <c r="CN20" s="91">
        <v>2.8</v>
      </c>
      <c r="CO20" s="91">
        <v>2.8</v>
      </c>
      <c r="CP20" s="91">
        <v>2.8</v>
      </c>
      <c r="CQ20" s="91">
        <v>2.8</v>
      </c>
      <c r="CR20" s="91">
        <v>2.8</v>
      </c>
      <c r="CS20" s="91">
        <v>2.8</v>
      </c>
      <c r="CT20" s="91">
        <v>2.8</v>
      </c>
      <c r="CU20" s="91">
        <v>2.8</v>
      </c>
      <c r="CV20" s="91">
        <v>2.8</v>
      </c>
      <c r="CW20" s="92">
        <v>2.8</v>
      </c>
    </row>
    <row r="21" spans="1:101" x14ac:dyDescent="0.25">
      <c r="A21" s="86" t="s">
        <v>345</v>
      </c>
      <c r="CW21" s="87"/>
    </row>
    <row r="22" spans="1:101" x14ac:dyDescent="0.25">
      <c r="A22" s="88" t="s">
        <v>337</v>
      </c>
      <c r="B22" s="89">
        <v>0.75700000000000001</v>
      </c>
      <c r="C22" s="89">
        <v>0.76100000000000001</v>
      </c>
      <c r="D22" s="89">
        <v>0.76400000000000001</v>
      </c>
      <c r="E22" s="89">
        <v>0.76700000000000002</v>
      </c>
      <c r="F22" s="89">
        <v>0.77200000000000002</v>
      </c>
      <c r="G22" s="89">
        <v>0.77600000000000002</v>
      </c>
      <c r="H22" s="89">
        <v>0.77900000000000003</v>
      </c>
      <c r="I22" s="89">
        <v>0.78200000000000003</v>
      </c>
      <c r="J22" s="89">
        <v>0.78700000000000003</v>
      </c>
      <c r="K22" s="89">
        <v>0.78900000000000003</v>
      </c>
      <c r="L22" s="89">
        <v>0.79300000000000004</v>
      </c>
      <c r="M22" s="89">
        <v>0.79500000000000004</v>
      </c>
      <c r="N22" s="89">
        <v>0.8</v>
      </c>
      <c r="O22" s="89">
        <v>0.80400000000000005</v>
      </c>
      <c r="P22" s="89">
        <v>0.80700000000000005</v>
      </c>
      <c r="Q22" s="89">
        <v>0.80900000000000005</v>
      </c>
      <c r="R22" s="89">
        <v>0.81299999999999994</v>
      </c>
      <c r="S22" s="89">
        <v>0.81699999999999995</v>
      </c>
      <c r="T22" s="89">
        <v>0.82099999999999995</v>
      </c>
      <c r="U22" s="89">
        <v>0.82399999999999995</v>
      </c>
      <c r="V22" s="89">
        <v>0.82799999999999996</v>
      </c>
      <c r="W22" s="89">
        <v>0.83199999999999996</v>
      </c>
      <c r="X22" s="89">
        <v>0.83599999999999997</v>
      </c>
      <c r="Y22" s="89">
        <v>0.83899999999999997</v>
      </c>
      <c r="Z22" s="89">
        <v>0.84399999999999997</v>
      </c>
      <c r="AA22" s="89">
        <v>0.84899999999999998</v>
      </c>
      <c r="AB22" s="89">
        <v>0.85399999999999998</v>
      </c>
      <c r="AC22" s="89">
        <v>0.85799999999999998</v>
      </c>
      <c r="AD22" s="89">
        <v>0.86399999999999999</v>
      </c>
      <c r="AE22" s="89">
        <v>0.86899999999999999</v>
      </c>
      <c r="AF22" s="89">
        <v>0.873</v>
      </c>
      <c r="AG22" s="89">
        <v>0.877</v>
      </c>
      <c r="AH22" s="89">
        <v>0.88300000000000001</v>
      </c>
      <c r="AI22" s="89">
        <v>0.88900000000000001</v>
      </c>
      <c r="AJ22" s="89">
        <v>0.89200000000000002</v>
      </c>
      <c r="AK22" s="89">
        <v>0.89900000000000002</v>
      </c>
      <c r="AL22" s="89">
        <v>0.90400000000000003</v>
      </c>
      <c r="AM22" s="89">
        <v>0.90900000000000003</v>
      </c>
      <c r="AN22" s="89">
        <v>0.91400000000000003</v>
      </c>
      <c r="AO22" s="89">
        <v>0.91900000000000004</v>
      </c>
      <c r="AP22" s="89">
        <v>0.92500000000000004</v>
      </c>
      <c r="AQ22" s="89">
        <v>0.92900000000000005</v>
      </c>
      <c r="AR22" s="89">
        <v>0.93300000000000005</v>
      </c>
      <c r="AS22" s="89">
        <v>0.93700000000000006</v>
      </c>
      <c r="AT22" s="89">
        <v>0.94699999999999995</v>
      </c>
      <c r="AU22" s="89">
        <v>0.95499999999999996</v>
      </c>
      <c r="AV22" s="89">
        <v>0.96499999999999997</v>
      </c>
      <c r="AW22" s="89">
        <v>0.97899999999999998</v>
      </c>
      <c r="AX22" s="89">
        <v>0.99399999999999999</v>
      </c>
      <c r="AY22" s="89">
        <v>1.0069999999999999</v>
      </c>
      <c r="AZ22" s="89">
        <v>1.0209999999999999</v>
      </c>
      <c r="BA22" s="89">
        <v>1.032</v>
      </c>
      <c r="BB22" s="89">
        <v>1.0469999999999999</v>
      </c>
      <c r="BC22" s="89">
        <v>1.056</v>
      </c>
      <c r="BD22" s="89">
        <v>1.0680000000000001</v>
      </c>
      <c r="BE22" s="89">
        <v>1.0760000000000001</v>
      </c>
      <c r="BF22" s="89">
        <v>1.0900000000000001</v>
      </c>
      <c r="BG22" s="89">
        <v>1.0980000000000001</v>
      </c>
      <c r="BH22" s="89">
        <v>1.1080000000000001</v>
      </c>
      <c r="BI22" s="89">
        <v>1.117</v>
      </c>
      <c r="BJ22" s="89">
        <v>1.1279999999999999</v>
      </c>
      <c r="BK22" s="89">
        <v>1.1379999999999999</v>
      </c>
      <c r="BL22" s="89">
        <v>1.1479999999999999</v>
      </c>
      <c r="BM22" s="89">
        <v>1.1559999999999999</v>
      </c>
      <c r="BN22" s="89">
        <v>1.167</v>
      </c>
      <c r="BO22" s="89">
        <v>1.175</v>
      </c>
      <c r="BP22" s="89">
        <v>1.1850000000000001</v>
      </c>
      <c r="BQ22" s="89">
        <v>1.1919999999999999</v>
      </c>
      <c r="BR22" s="89">
        <v>1.2030000000000001</v>
      </c>
      <c r="BS22" s="89">
        <v>1.212</v>
      </c>
      <c r="BT22" s="89">
        <v>1.2210000000000001</v>
      </c>
      <c r="BU22" s="89">
        <v>1.228</v>
      </c>
      <c r="BV22" s="89">
        <v>1.2390000000000001</v>
      </c>
      <c r="BW22" s="89">
        <v>1.248</v>
      </c>
      <c r="BX22" s="89">
        <v>1.2569999999999999</v>
      </c>
      <c r="BY22" s="89">
        <v>1.2649999999999999</v>
      </c>
      <c r="BZ22" s="89">
        <v>1.276</v>
      </c>
      <c r="CA22" s="89">
        <v>1.284</v>
      </c>
      <c r="CB22" s="89">
        <v>1.294</v>
      </c>
      <c r="CC22" s="89">
        <v>1.302</v>
      </c>
      <c r="CD22" s="89">
        <v>1.3129999999999999</v>
      </c>
      <c r="CE22" s="89">
        <v>1.321</v>
      </c>
      <c r="CF22" s="89">
        <v>1.331</v>
      </c>
      <c r="CG22" s="89">
        <v>1.339</v>
      </c>
      <c r="CH22" s="89">
        <v>1.351</v>
      </c>
      <c r="CI22" s="89">
        <v>1.359</v>
      </c>
      <c r="CJ22" s="89">
        <v>1.369</v>
      </c>
      <c r="CK22" s="89">
        <v>1.377</v>
      </c>
      <c r="CL22" s="89">
        <v>1.389</v>
      </c>
      <c r="CM22" s="89">
        <v>1.3979999999999999</v>
      </c>
      <c r="CN22" s="89">
        <v>1.4079999999999999</v>
      </c>
      <c r="CO22" s="89">
        <v>1.4159999999999999</v>
      </c>
      <c r="CP22" s="89">
        <v>1.4279999999999999</v>
      </c>
      <c r="CQ22" s="89">
        <v>1.4370000000000001</v>
      </c>
      <c r="CR22" s="89">
        <v>1.448</v>
      </c>
      <c r="CS22" s="89">
        <v>1.456</v>
      </c>
      <c r="CT22" s="89">
        <v>1.468</v>
      </c>
      <c r="CU22" s="89">
        <v>1.478</v>
      </c>
      <c r="CV22" s="89">
        <v>1.4890000000000001</v>
      </c>
      <c r="CW22" s="90">
        <v>1.4970000000000001</v>
      </c>
    </row>
    <row r="23" spans="1:101" x14ac:dyDescent="0.25">
      <c r="A23" s="88" t="s">
        <v>338</v>
      </c>
      <c r="B23" s="91" t="s">
        <v>341</v>
      </c>
      <c r="C23" s="91" t="s">
        <v>341</v>
      </c>
      <c r="D23" s="91" t="s">
        <v>341</v>
      </c>
      <c r="E23" s="91" t="s">
        <v>341</v>
      </c>
      <c r="F23" s="91" t="s">
        <v>341</v>
      </c>
      <c r="G23" s="91">
        <v>1.9</v>
      </c>
      <c r="H23" s="91">
        <v>2</v>
      </c>
      <c r="I23" s="91">
        <v>2</v>
      </c>
      <c r="J23" s="91">
        <v>1.9</v>
      </c>
      <c r="K23" s="91">
        <v>1.8</v>
      </c>
      <c r="L23" s="91">
        <v>1.8</v>
      </c>
      <c r="M23" s="91">
        <v>1.8</v>
      </c>
      <c r="N23" s="91">
        <v>1.7</v>
      </c>
      <c r="O23" s="91">
        <v>1.8</v>
      </c>
      <c r="P23" s="91">
        <v>1.8</v>
      </c>
      <c r="Q23" s="91">
        <v>1.8</v>
      </c>
      <c r="R23" s="91">
        <v>1.8</v>
      </c>
      <c r="S23" s="91">
        <v>1.7</v>
      </c>
      <c r="T23" s="91">
        <v>1.7</v>
      </c>
      <c r="U23" s="91">
        <v>1.7</v>
      </c>
      <c r="V23" s="91">
        <v>1.7</v>
      </c>
      <c r="W23" s="91">
        <v>1.8</v>
      </c>
      <c r="X23" s="91">
        <v>1.8</v>
      </c>
      <c r="Y23" s="91">
        <v>1.8</v>
      </c>
      <c r="Z23" s="91">
        <v>1.9</v>
      </c>
      <c r="AA23" s="91">
        <v>1.9</v>
      </c>
      <c r="AB23" s="91">
        <v>2</v>
      </c>
      <c r="AC23" s="91">
        <v>2.1</v>
      </c>
      <c r="AD23" s="91">
        <v>2.2000000000000002</v>
      </c>
      <c r="AE23" s="91">
        <v>2.2999999999999998</v>
      </c>
      <c r="AF23" s="91">
        <v>2.2999999999999998</v>
      </c>
      <c r="AG23" s="91">
        <v>2.2999999999999998</v>
      </c>
      <c r="AH23" s="91">
        <v>2.2000000000000002</v>
      </c>
      <c r="AI23" s="91">
        <v>2.2000000000000002</v>
      </c>
      <c r="AJ23" s="91">
        <v>2.2000000000000002</v>
      </c>
      <c r="AK23" s="91">
        <v>2.2999999999999998</v>
      </c>
      <c r="AL23" s="91">
        <v>2.4</v>
      </c>
      <c r="AM23" s="91">
        <v>2.4</v>
      </c>
      <c r="AN23" s="91">
        <v>2.4</v>
      </c>
      <c r="AO23" s="91">
        <v>2.2999999999999998</v>
      </c>
      <c r="AP23" s="91">
        <v>2.2999999999999998</v>
      </c>
      <c r="AQ23" s="91">
        <v>2.2999999999999998</v>
      </c>
      <c r="AR23" s="91">
        <v>2.2000000000000002</v>
      </c>
      <c r="AS23" s="91">
        <v>2.1</v>
      </c>
      <c r="AT23" s="91">
        <v>2.1</v>
      </c>
      <c r="AU23" s="91">
        <v>2.2999999999999998</v>
      </c>
      <c r="AV23" s="91">
        <v>2.6</v>
      </c>
      <c r="AW23" s="91">
        <v>3.3</v>
      </c>
      <c r="AX23" s="91">
        <v>3.9</v>
      </c>
      <c r="AY23" s="91">
        <v>4.5999999999999996</v>
      </c>
      <c r="AZ23" s="91">
        <v>5.0999999999999996</v>
      </c>
      <c r="BA23" s="91">
        <v>5.4</v>
      </c>
      <c r="BB23" s="91">
        <v>5.5</v>
      </c>
      <c r="BC23" s="91">
        <v>5.4</v>
      </c>
      <c r="BD23" s="91">
        <v>5.0999999999999996</v>
      </c>
      <c r="BE23" s="91">
        <v>4.8</v>
      </c>
      <c r="BF23" s="91">
        <v>4.4000000000000004</v>
      </c>
      <c r="BG23" s="91">
        <v>4.2</v>
      </c>
      <c r="BH23" s="91">
        <v>4</v>
      </c>
      <c r="BI23" s="91">
        <v>3.9</v>
      </c>
      <c r="BJ23" s="91">
        <v>3.8</v>
      </c>
      <c r="BK23" s="91">
        <v>3.7</v>
      </c>
      <c r="BL23" s="91">
        <v>3.6</v>
      </c>
      <c r="BM23" s="91">
        <v>3.6</v>
      </c>
      <c r="BN23" s="91">
        <v>3.6</v>
      </c>
      <c r="BO23" s="91">
        <v>3.5</v>
      </c>
      <c r="BP23" s="91">
        <v>3.4</v>
      </c>
      <c r="BQ23" s="91">
        <v>3.3</v>
      </c>
      <c r="BR23" s="91">
        <v>3.2</v>
      </c>
      <c r="BS23" s="91">
        <v>3.1</v>
      </c>
      <c r="BT23" s="91">
        <v>3.1</v>
      </c>
      <c r="BU23" s="91">
        <v>3.1</v>
      </c>
      <c r="BV23" s="91">
        <v>3</v>
      </c>
      <c r="BW23" s="91">
        <v>3</v>
      </c>
      <c r="BX23" s="91">
        <v>3</v>
      </c>
      <c r="BY23" s="91">
        <v>3</v>
      </c>
      <c r="BZ23" s="91">
        <v>3</v>
      </c>
      <c r="CA23" s="91">
        <v>3</v>
      </c>
      <c r="CB23" s="91">
        <v>2.9</v>
      </c>
      <c r="CC23" s="91">
        <v>2.9</v>
      </c>
      <c r="CD23" s="91">
        <v>2.9</v>
      </c>
      <c r="CE23" s="91">
        <v>2.9</v>
      </c>
      <c r="CF23" s="91">
        <v>2.9</v>
      </c>
      <c r="CG23" s="91">
        <v>2.9</v>
      </c>
      <c r="CH23" s="91">
        <v>2.9</v>
      </c>
      <c r="CI23" s="91">
        <v>2.9</v>
      </c>
      <c r="CJ23" s="91">
        <v>2.9</v>
      </c>
      <c r="CK23" s="91">
        <v>2.9</v>
      </c>
      <c r="CL23" s="91">
        <v>2.9</v>
      </c>
      <c r="CM23" s="91">
        <v>2.9</v>
      </c>
      <c r="CN23" s="91">
        <v>2.8</v>
      </c>
      <c r="CO23" s="91">
        <v>2.8</v>
      </c>
      <c r="CP23" s="91">
        <v>2.8</v>
      </c>
      <c r="CQ23" s="91">
        <v>2.8</v>
      </c>
      <c r="CR23" s="91">
        <v>2.8</v>
      </c>
      <c r="CS23" s="91">
        <v>2.8</v>
      </c>
      <c r="CT23" s="91">
        <v>2.8</v>
      </c>
      <c r="CU23" s="91">
        <v>2.8</v>
      </c>
      <c r="CV23" s="91">
        <v>2.8</v>
      </c>
      <c r="CW23" s="92">
        <v>2.8</v>
      </c>
    </row>
    <row r="24" spans="1:101" x14ac:dyDescent="0.25">
      <c r="A24" s="93" t="s">
        <v>346</v>
      </c>
      <c r="CW24" s="87"/>
    </row>
    <row r="25" spans="1:101" x14ac:dyDescent="0.25">
      <c r="A25" s="88" t="s">
        <v>337</v>
      </c>
      <c r="B25" s="89">
        <v>0.83399999999999996</v>
      </c>
      <c r="C25" s="89">
        <v>0.83799999999999997</v>
      </c>
      <c r="D25" s="89">
        <v>0.84099999999999997</v>
      </c>
      <c r="E25" s="89">
        <v>0.84299999999999997</v>
      </c>
      <c r="F25" s="89">
        <v>0.84699999999999998</v>
      </c>
      <c r="G25" s="89">
        <v>0.85</v>
      </c>
      <c r="H25" s="89">
        <v>0.85399999999999998</v>
      </c>
      <c r="I25" s="89">
        <v>0.85599999999999998</v>
      </c>
      <c r="J25" s="89">
        <v>0.86099999999999999</v>
      </c>
      <c r="K25" s="89">
        <v>0.86299999999999999</v>
      </c>
      <c r="L25" s="89">
        <v>0.86599999999999999</v>
      </c>
      <c r="M25" s="89">
        <v>0.86799999999999999</v>
      </c>
      <c r="N25" s="89">
        <v>0.872</v>
      </c>
      <c r="O25" s="89">
        <v>0.876</v>
      </c>
      <c r="P25" s="89">
        <v>0.879</v>
      </c>
      <c r="Q25" s="89">
        <v>0.88100000000000001</v>
      </c>
      <c r="R25" s="89">
        <v>0.88500000000000001</v>
      </c>
      <c r="S25" s="89">
        <v>0.88900000000000001</v>
      </c>
      <c r="T25" s="89">
        <v>0.89300000000000002</v>
      </c>
      <c r="U25" s="89">
        <v>0.89600000000000002</v>
      </c>
      <c r="V25" s="89">
        <v>0.90300000000000002</v>
      </c>
      <c r="W25" s="89">
        <v>0.90700000000000003</v>
      </c>
      <c r="X25" s="89">
        <v>0.91100000000000003</v>
      </c>
      <c r="Y25" s="89">
        <v>0.91300000000000003</v>
      </c>
      <c r="Z25" s="89">
        <v>0.92</v>
      </c>
      <c r="AA25" s="89">
        <v>0.92500000000000004</v>
      </c>
      <c r="AB25" s="89">
        <v>0.92800000000000005</v>
      </c>
      <c r="AC25" s="89">
        <v>0.93200000000000005</v>
      </c>
      <c r="AD25" s="89">
        <v>0.93799999999999994</v>
      </c>
      <c r="AE25" s="89">
        <v>0.94</v>
      </c>
      <c r="AF25" s="89">
        <v>0.94299999999999995</v>
      </c>
      <c r="AG25" s="89">
        <v>0.94699999999999995</v>
      </c>
      <c r="AH25" s="89">
        <v>0.95299999999999996</v>
      </c>
      <c r="AI25" s="89">
        <v>0.95599999999999996</v>
      </c>
      <c r="AJ25" s="89">
        <v>0.96199999999999997</v>
      </c>
      <c r="AK25" s="89">
        <v>0.96699999999999997</v>
      </c>
      <c r="AL25" s="89">
        <v>0.97499999999999998</v>
      </c>
      <c r="AM25" s="89">
        <v>0.97799999999999998</v>
      </c>
      <c r="AN25" s="89">
        <v>0.98399999999999999</v>
      </c>
      <c r="AO25" s="89">
        <v>0.98699999999999999</v>
      </c>
      <c r="AP25" s="89">
        <v>0.99399999999999999</v>
      </c>
      <c r="AQ25" s="89">
        <v>0.996</v>
      </c>
      <c r="AR25" s="89">
        <v>1.0029999999999999</v>
      </c>
      <c r="AS25" s="89">
        <v>1.0069999999999999</v>
      </c>
      <c r="AT25" s="89">
        <v>1.0149999999999999</v>
      </c>
      <c r="AU25" s="89">
        <v>1.0229999999999999</v>
      </c>
      <c r="AV25" s="89">
        <v>1.0349999999999999</v>
      </c>
      <c r="AW25" s="89">
        <v>1.0449999999999999</v>
      </c>
      <c r="AX25" s="89">
        <v>1.0620000000000001</v>
      </c>
      <c r="AY25" s="89">
        <v>1.075</v>
      </c>
      <c r="AZ25" s="89">
        <v>1.0900000000000001</v>
      </c>
      <c r="BA25" s="89">
        <v>1.1000000000000001</v>
      </c>
      <c r="BB25" s="89">
        <v>1.113</v>
      </c>
      <c r="BC25" s="89">
        <v>1.1200000000000001</v>
      </c>
      <c r="BD25" s="89">
        <v>1.133</v>
      </c>
      <c r="BE25" s="89">
        <v>1.139</v>
      </c>
      <c r="BF25" s="89">
        <v>1.153</v>
      </c>
      <c r="BG25" s="89">
        <v>1.159</v>
      </c>
      <c r="BH25" s="89">
        <v>1.169</v>
      </c>
      <c r="BI25" s="89">
        <v>1.1759999999999999</v>
      </c>
      <c r="BJ25" s="89">
        <v>1.1850000000000001</v>
      </c>
      <c r="BK25" s="89">
        <v>1.194</v>
      </c>
      <c r="BL25" s="89">
        <v>1.2030000000000001</v>
      </c>
      <c r="BM25" s="89">
        <v>1.21</v>
      </c>
      <c r="BN25" s="89">
        <v>1.2190000000000001</v>
      </c>
      <c r="BO25" s="89">
        <v>1.226</v>
      </c>
      <c r="BP25" s="89">
        <v>1.2330000000000001</v>
      </c>
      <c r="BQ25" s="89">
        <v>1.238</v>
      </c>
      <c r="BR25" s="89">
        <v>1.248</v>
      </c>
      <c r="BS25" s="89">
        <v>1.254</v>
      </c>
      <c r="BT25" s="89">
        <v>1.2609999999999999</v>
      </c>
      <c r="BU25" s="89">
        <v>1.266</v>
      </c>
      <c r="BV25" s="89">
        <v>1.2749999999999999</v>
      </c>
      <c r="BW25" s="89">
        <v>1.2809999999999999</v>
      </c>
      <c r="BX25" s="89">
        <v>1.2889999999999999</v>
      </c>
      <c r="BY25" s="89">
        <v>1.294</v>
      </c>
      <c r="BZ25" s="89">
        <v>1.3029999999999999</v>
      </c>
      <c r="CA25" s="89">
        <v>1.31</v>
      </c>
      <c r="CB25" s="89">
        <v>1.319</v>
      </c>
      <c r="CC25" s="89">
        <v>1.325</v>
      </c>
      <c r="CD25" s="89">
        <v>1.3340000000000001</v>
      </c>
      <c r="CE25" s="89">
        <v>1.341</v>
      </c>
      <c r="CF25" s="89">
        <v>1.349</v>
      </c>
      <c r="CG25" s="89">
        <v>1.3560000000000001</v>
      </c>
      <c r="CH25" s="89">
        <v>1.365</v>
      </c>
      <c r="CI25" s="89">
        <v>1.373</v>
      </c>
      <c r="CJ25" s="89">
        <v>1.381</v>
      </c>
      <c r="CK25" s="89">
        <v>1.3879999999999999</v>
      </c>
      <c r="CL25" s="89">
        <v>1.3979999999999999</v>
      </c>
      <c r="CM25" s="89">
        <v>1.405</v>
      </c>
      <c r="CN25" s="89">
        <v>1.4139999999999999</v>
      </c>
      <c r="CO25" s="89">
        <v>1.42</v>
      </c>
      <c r="CP25" s="89">
        <v>1.43</v>
      </c>
      <c r="CQ25" s="89">
        <v>1.4379999999999999</v>
      </c>
      <c r="CR25" s="89">
        <v>1.4470000000000001</v>
      </c>
      <c r="CS25" s="89">
        <v>1.454</v>
      </c>
      <c r="CT25" s="89">
        <v>1.464</v>
      </c>
      <c r="CU25" s="89">
        <v>1.472</v>
      </c>
      <c r="CV25" s="89">
        <v>1.4810000000000001</v>
      </c>
      <c r="CW25" s="90">
        <v>1.488</v>
      </c>
    </row>
    <row r="26" spans="1:101" x14ac:dyDescent="0.25">
      <c r="A26" s="88" t="s">
        <v>338</v>
      </c>
      <c r="B26" s="91" t="s">
        <v>341</v>
      </c>
      <c r="C26" s="91" t="s">
        <v>341</v>
      </c>
      <c r="D26" s="91" t="s">
        <v>341</v>
      </c>
      <c r="E26" s="91" t="s">
        <v>341</v>
      </c>
      <c r="F26" s="91">
        <v>1.5</v>
      </c>
      <c r="G26" s="91">
        <v>1.5</v>
      </c>
      <c r="H26" s="91">
        <v>1.5</v>
      </c>
      <c r="I26" s="91">
        <v>1.5</v>
      </c>
      <c r="J26" s="91">
        <v>1.5</v>
      </c>
      <c r="K26" s="91">
        <v>1.6</v>
      </c>
      <c r="L26" s="91">
        <v>1.5</v>
      </c>
      <c r="M26" s="91">
        <v>1.5</v>
      </c>
      <c r="N26" s="91">
        <v>1.4</v>
      </c>
      <c r="O26" s="91">
        <v>1.4</v>
      </c>
      <c r="P26" s="91">
        <v>1.4</v>
      </c>
      <c r="Q26" s="91">
        <v>1.5</v>
      </c>
      <c r="R26" s="91">
        <v>1.5</v>
      </c>
      <c r="S26" s="91">
        <v>1.5</v>
      </c>
      <c r="T26" s="91">
        <v>1.5</v>
      </c>
      <c r="U26" s="91">
        <v>1.6</v>
      </c>
      <c r="V26" s="91">
        <v>1.7</v>
      </c>
      <c r="W26" s="91">
        <v>1.9</v>
      </c>
      <c r="X26" s="91">
        <v>2</v>
      </c>
      <c r="Y26" s="91">
        <v>2</v>
      </c>
      <c r="Z26" s="91">
        <v>2</v>
      </c>
      <c r="AA26" s="91">
        <v>2</v>
      </c>
      <c r="AB26" s="91">
        <v>1.9</v>
      </c>
      <c r="AC26" s="91">
        <v>1.9</v>
      </c>
      <c r="AD26" s="91">
        <v>2</v>
      </c>
      <c r="AE26" s="91">
        <v>1.8</v>
      </c>
      <c r="AF26" s="91">
        <v>1.8</v>
      </c>
      <c r="AG26" s="91">
        <v>1.7</v>
      </c>
      <c r="AH26" s="91">
        <v>1.6</v>
      </c>
      <c r="AI26" s="91">
        <v>1.6</v>
      </c>
      <c r="AJ26" s="91">
        <v>1.7</v>
      </c>
      <c r="AK26" s="91">
        <v>1.9</v>
      </c>
      <c r="AL26" s="91">
        <v>2</v>
      </c>
      <c r="AM26" s="91">
        <v>2.2000000000000002</v>
      </c>
      <c r="AN26" s="91">
        <v>2.2999999999999998</v>
      </c>
      <c r="AO26" s="91">
        <v>2.2000000000000002</v>
      </c>
      <c r="AP26" s="91">
        <v>2.2000000000000002</v>
      </c>
      <c r="AQ26" s="91">
        <v>2.1</v>
      </c>
      <c r="AR26" s="91">
        <v>2</v>
      </c>
      <c r="AS26" s="91">
        <v>1.9</v>
      </c>
      <c r="AT26" s="91">
        <v>2</v>
      </c>
      <c r="AU26" s="91">
        <v>2.1</v>
      </c>
      <c r="AV26" s="91">
        <v>2.5</v>
      </c>
      <c r="AW26" s="91">
        <v>2.9</v>
      </c>
      <c r="AX26" s="91">
        <v>3.6</v>
      </c>
      <c r="AY26" s="91">
        <v>4.2</v>
      </c>
      <c r="AZ26" s="91">
        <v>4.7</v>
      </c>
      <c r="BA26" s="91">
        <v>5.0999999999999996</v>
      </c>
      <c r="BB26" s="91">
        <v>5.0999999999999996</v>
      </c>
      <c r="BC26" s="91">
        <v>4.9000000000000004</v>
      </c>
      <c r="BD26" s="91">
        <v>4.5999999999999996</v>
      </c>
      <c r="BE26" s="91">
        <v>4.0999999999999996</v>
      </c>
      <c r="BF26" s="91">
        <v>3.8</v>
      </c>
      <c r="BG26" s="91">
        <v>3.6</v>
      </c>
      <c r="BH26" s="91">
        <v>3.4</v>
      </c>
      <c r="BI26" s="91">
        <v>3.3</v>
      </c>
      <c r="BJ26" s="91">
        <v>3.2</v>
      </c>
      <c r="BK26" s="91">
        <v>3.1</v>
      </c>
      <c r="BL26" s="91">
        <v>3</v>
      </c>
      <c r="BM26" s="91">
        <v>2.9</v>
      </c>
      <c r="BN26" s="91">
        <v>2.9</v>
      </c>
      <c r="BO26" s="91">
        <v>2.8</v>
      </c>
      <c r="BP26" s="91">
        <v>2.7</v>
      </c>
      <c r="BQ26" s="91">
        <v>2.6</v>
      </c>
      <c r="BR26" s="91">
        <v>2.5</v>
      </c>
      <c r="BS26" s="91">
        <v>2.4</v>
      </c>
      <c r="BT26" s="91">
        <v>2.2999999999999998</v>
      </c>
      <c r="BU26" s="91">
        <v>2.2999999999999998</v>
      </c>
      <c r="BV26" s="91">
        <v>2.2000000000000002</v>
      </c>
      <c r="BW26" s="91">
        <v>2.2000000000000002</v>
      </c>
      <c r="BX26" s="91">
        <v>2.2000000000000002</v>
      </c>
      <c r="BY26" s="91">
        <v>2.2000000000000002</v>
      </c>
      <c r="BZ26" s="91">
        <v>2.2000000000000002</v>
      </c>
      <c r="CA26" s="91">
        <v>2.2000000000000002</v>
      </c>
      <c r="CB26" s="91">
        <v>2.2999999999999998</v>
      </c>
      <c r="CC26" s="91">
        <v>2.2999999999999998</v>
      </c>
      <c r="CD26" s="91">
        <v>2.2999999999999998</v>
      </c>
      <c r="CE26" s="91">
        <v>2.2999999999999998</v>
      </c>
      <c r="CF26" s="91">
        <v>2.2999999999999998</v>
      </c>
      <c r="CG26" s="91">
        <v>2.2999999999999998</v>
      </c>
      <c r="CH26" s="91">
        <v>2.2999999999999998</v>
      </c>
      <c r="CI26" s="91">
        <v>2.4</v>
      </c>
      <c r="CJ26" s="91">
        <v>2.4</v>
      </c>
      <c r="CK26" s="91">
        <v>2.4</v>
      </c>
      <c r="CL26" s="91">
        <v>2.4</v>
      </c>
      <c r="CM26" s="91">
        <v>2.4</v>
      </c>
      <c r="CN26" s="91">
        <v>2.2999999999999998</v>
      </c>
      <c r="CO26" s="91">
        <v>2.2999999999999998</v>
      </c>
      <c r="CP26" s="91">
        <v>2.2999999999999998</v>
      </c>
      <c r="CQ26" s="91">
        <v>2.2999999999999998</v>
      </c>
      <c r="CR26" s="91">
        <v>2.2999999999999998</v>
      </c>
      <c r="CS26" s="91">
        <v>2.2999999999999998</v>
      </c>
      <c r="CT26" s="91">
        <v>2.2999999999999998</v>
      </c>
      <c r="CU26" s="91">
        <v>2.2999999999999998</v>
      </c>
      <c r="CV26" s="91">
        <v>2.2999999999999998</v>
      </c>
      <c r="CW26" s="92">
        <v>2.4</v>
      </c>
    </row>
    <row r="27" spans="1:101" x14ac:dyDescent="0.25">
      <c r="A27" s="86" t="s">
        <v>347</v>
      </c>
      <c r="CW27" s="87"/>
    </row>
    <row r="28" spans="1:101" s="85" customFormat="1" x14ac:dyDescent="0.25">
      <c r="A28" s="94" t="s">
        <v>337</v>
      </c>
      <c r="B28" s="95">
        <v>0.74199999999999999</v>
      </c>
      <c r="C28" s="95">
        <v>0.745</v>
      </c>
      <c r="D28" s="95">
        <v>0.749</v>
      </c>
      <c r="E28" s="95">
        <v>0.751</v>
      </c>
      <c r="F28" s="95">
        <v>0.75600000000000001</v>
      </c>
      <c r="G28" s="95">
        <v>0.76</v>
      </c>
      <c r="H28" s="95">
        <v>0.76300000000000001</v>
      </c>
      <c r="I28" s="95">
        <v>0.76500000000000001</v>
      </c>
      <c r="J28" s="95">
        <v>0.77100000000000002</v>
      </c>
      <c r="K28" s="95">
        <v>0.77400000000000002</v>
      </c>
      <c r="L28" s="95">
        <v>0.77700000000000002</v>
      </c>
      <c r="M28" s="95">
        <v>0.78</v>
      </c>
      <c r="N28" s="95">
        <v>0.78600000000000003</v>
      </c>
      <c r="O28" s="95">
        <v>0.79</v>
      </c>
      <c r="P28" s="95">
        <v>0.79300000000000004</v>
      </c>
      <c r="Q28" s="95">
        <v>0.79400000000000004</v>
      </c>
      <c r="R28" s="95">
        <v>0.79900000000000004</v>
      </c>
      <c r="S28" s="95">
        <v>0.80400000000000005</v>
      </c>
      <c r="T28" s="95">
        <v>0.80800000000000005</v>
      </c>
      <c r="U28" s="95">
        <v>0.81100000000000005</v>
      </c>
      <c r="V28" s="95">
        <v>0.81799999999999995</v>
      </c>
      <c r="W28" s="95">
        <v>0.82099999999999995</v>
      </c>
      <c r="X28" s="95">
        <v>0.82399999999999995</v>
      </c>
      <c r="Y28" s="95">
        <v>0.82699999999999996</v>
      </c>
      <c r="Z28" s="95">
        <v>0.83499999999999996</v>
      </c>
      <c r="AA28" s="95">
        <v>0.83899999999999997</v>
      </c>
      <c r="AB28" s="95">
        <v>0.84199999999999997</v>
      </c>
      <c r="AC28" s="95">
        <v>0.84499999999999997</v>
      </c>
      <c r="AD28" s="95">
        <v>0.85299999999999998</v>
      </c>
      <c r="AE28" s="95">
        <v>0.85799999999999998</v>
      </c>
      <c r="AF28" s="95">
        <v>0.86099999999999999</v>
      </c>
      <c r="AG28" s="95">
        <v>0.86499999999999999</v>
      </c>
      <c r="AH28" s="95">
        <v>0.874</v>
      </c>
      <c r="AI28" s="95">
        <v>0.879</v>
      </c>
      <c r="AJ28" s="95">
        <v>0.88600000000000001</v>
      </c>
      <c r="AK28" s="95">
        <v>0.89</v>
      </c>
      <c r="AL28" s="95">
        <v>0.89700000000000002</v>
      </c>
      <c r="AM28" s="95">
        <v>0.90200000000000002</v>
      </c>
      <c r="AN28" s="95">
        <v>0.90800000000000003</v>
      </c>
      <c r="AO28" s="95">
        <v>0.91100000000000003</v>
      </c>
      <c r="AP28" s="95">
        <v>0.92</v>
      </c>
      <c r="AQ28" s="95">
        <v>0.92</v>
      </c>
      <c r="AR28" s="95">
        <v>0.92700000000000005</v>
      </c>
      <c r="AS28" s="95">
        <v>0.93100000000000005</v>
      </c>
      <c r="AT28" s="95">
        <v>0.93799999999999994</v>
      </c>
      <c r="AU28" s="95">
        <v>0.94499999999999995</v>
      </c>
      <c r="AV28" s="95">
        <v>0.95699999999999996</v>
      </c>
      <c r="AW28" s="95">
        <v>0.96699999999999997</v>
      </c>
      <c r="AX28" s="95">
        <v>0.98099999999999998</v>
      </c>
      <c r="AY28" s="95">
        <v>0.99399999999999999</v>
      </c>
      <c r="AZ28" s="95">
        <v>1.0069999999999999</v>
      </c>
      <c r="BA28" s="95">
        <v>1.0169999999999999</v>
      </c>
      <c r="BB28" s="95">
        <v>1.0309999999999999</v>
      </c>
      <c r="BC28" s="95">
        <v>1.0409999999999999</v>
      </c>
      <c r="BD28" s="95">
        <v>1.052</v>
      </c>
      <c r="BE28" s="95">
        <v>1.0569999999999999</v>
      </c>
      <c r="BF28" s="95">
        <v>1.071</v>
      </c>
      <c r="BG28" s="95">
        <v>1.08</v>
      </c>
      <c r="BH28" s="95">
        <v>1.089</v>
      </c>
      <c r="BI28" s="95">
        <v>1.0960000000000001</v>
      </c>
      <c r="BJ28" s="95">
        <v>1.1080000000000001</v>
      </c>
      <c r="BK28" s="95">
        <v>1.117</v>
      </c>
      <c r="BL28" s="95">
        <v>1.125</v>
      </c>
      <c r="BM28" s="95">
        <v>1.1299999999999999</v>
      </c>
      <c r="BN28" s="95">
        <v>1.1419999999999999</v>
      </c>
      <c r="BO28" s="95">
        <v>1.151</v>
      </c>
      <c r="BP28" s="95">
        <v>1.159</v>
      </c>
      <c r="BQ28" s="95">
        <v>1.165</v>
      </c>
      <c r="BR28" s="95">
        <v>1.177</v>
      </c>
      <c r="BS28" s="95">
        <v>1.1850000000000001</v>
      </c>
      <c r="BT28" s="95">
        <v>1.1930000000000001</v>
      </c>
      <c r="BU28" s="95">
        <v>1.1990000000000001</v>
      </c>
      <c r="BV28" s="95">
        <v>1.21</v>
      </c>
      <c r="BW28" s="95">
        <v>1.2190000000000001</v>
      </c>
      <c r="BX28" s="95">
        <v>1.2270000000000001</v>
      </c>
      <c r="BY28" s="95">
        <v>1.2330000000000001</v>
      </c>
      <c r="BZ28" s="95">
        <v>1.2450000000000001</v>
      </c>
      <c r="CA28" s="95">
        <v>1.2529999999999999</v>
      </c>
      <c r="CB28" s="95">
        <v>1.2609999999999999</v>
      </c>
      <c r="CC28" s="95">
        <v>1.2669999999999999</v>
      </c>
      <c r="CD28" s="95">
        <v>1.28</v>
      </c>
      <c r="CE28" s="95">
        <v>1.288</v>
      </c>
      <c r="CF28" s="95">
        <v>1.2969999999999999</v>
      </c>
      <c r="CG28" s="95">
        <v>1.3029999999999999</v>
      </c>
      <c r="CH28" s="95">
        <v>1.3149999999999999</v>
      </c>
      <c r="CI28" s="95">
        <v>1.3240000000000001</v>
      </c>
      <c r="CJ28" s="95">
        <v>1.333</v>
      </c>
      <c r="CK28" s="95">
        <v>1.339</v>
      </c>
      <c r="CL28" s="95">
        <v>1.3520000000000001</v>
      </c>
      <c r="CM28" s="95">
        <v>1.361</v>
      </c>
      <c r="CN28" s="95">
        <v>1.37</v>
      </c>
      <c r="CO28" s="95">
        <v>1.3759999999999999</v>
      </c>
      <c r="CP28" s="95">
        <v>1.389</v>
      </c>
      <c r="CQ28" s="95">
        <v>1.399</v>
      </c>
      <c r="CR28" s="95">
        <v>1.4079999999999999</v>
      </c>
      <c r="CS28" s="95">
        <v>1.4139999999999999</v>
      </c>
      <c r="CT28" s="95">
        <v>1.4279999999999999</v>
      </c>
      <c r="CU28" s="95">
        <v>1.4379999999999999</v>
      </c>
      <c r="CV28" s="95">
        <v>1.4470000000000001</v>
      </c>
      <c r="CW28" s="96">
        <v>1.454</v>
      </c>
    </row>
    <row r="29" spans="1:101" x14ac:dyDescent="0.25">
      <c r="A29" s="88" t="s">
        <v>338</v>
      </c>
      <c r="B29" s="91">
        <v>1.5</v>
      </c>
      <c r="C29" s="91">
        <v>1.4</v>
      </c>
      <c r="D29" s="91">
        <v>1.5</v>
      </c>
      <c r="E29" s="91">
        <v>1.6</v>
      </c>
      <c r="F29" s="91">
        <v>1.7</v>
      </c>
      <c r="G29" s="91">
        <v>1.9</v>
      </c>
      <c r="H29" s="91">
        <v>1.9</v>
      </c>
      <c r="I29" s="91">
        <v>1.9</v>
      </c>
      <c r="J29" s="91">
        <v>1.9</v>
      </c>
      <c r="K29" s="91">
        <v>1.9</v>
      </c>
      <c r="L29" s="91">
        <v>1.9</v>
      </c>
      <c r="M29" s="91">
        <v>1.9</v>
      </c>
      <c r="N29" s="91">
        <v>1.9</v>
      </c>
      <c r="O29" s="91">
        <v>1.9</v>
      </c>
      <c r="P29" s="91">
        <v>1.9</v>
      </c>
      <c r="Q29" s="91">
        <v>1.9</v>
      </c>
      <c r="R29" s="91">
        <v>1.9</v>
      </c>
      <c r="S29" s="91">
        <v>1.8</v>
      </c>
      <c r="T29" s="91">
        <v>1.8</v>
      </c>
      <c r="U29" s="91">
        <v>1.9</v>
      </c>
      <c r="V29" s="91">
        <v>2.1</v>
      </c>
      <c r="W29" s="91">
        <v>2.1</v>
      </c>
      <c r="X29" s="91">
        <v>2.2000000000000002</v>
      </c>
      <c r="Y29" s="91">
        <v>2.1</v>
      </c>
      <c r="Z29" s="91">
        <v>2</v>
      </c>
      <c r="AA29" s="91">
        <v>2.1</v>
      </c>
      <c r="AB29" s="91">
        <v>2.1</v>
      </c>
      <c r="AC29" s="91">
        <v>2.2000000000000002</v>
      </c>
      <c r="AD29" s="91">
        <v>2.2000000000000002</v>
      </c>
      <c r="AE29" s="91">
        <v>2.2000000000000002</v>
      </c>
      <c r="AF29" s="91">
        <v>2.2000000000000002</v>
      </c>
      <c r="AG29" s="91">
        <v>2.2999999999999998</v>
      </c>
      <c r="AH29" s="91">
        <v>2.4</v>
      </c>
      <c r="AI29" s="91">
        <v>2.4</v>
      </c>
      <c r="AJ29" s="91">
        <v>2.5</v>
      </c>
      <c r="AK29" s="91">
        <v>2.7</v>
      </c>
      <c r="AL29" s="91">
        <v>2.7</v>
      </c>
      <c r="AM29" s="91">
        <v>2.7</v>
      </c>
      <c r="AN29" s="91">
        <v>2.7</v>
      </c>
      <c r="AO29" s="91">
        <v>2.5</v>
      </c>
      <c r="AP29" s="91">
        <v>2.5</v>
      </c>
      <c r="AQ29" s="91">
        <v>2.4</v>
      </c>
      <c r="AR29" s="91">
        <v>2.2000000000000002</v>
      </c>
      <c r="AS29" s="91">
        <v>2.2000000000000002</v>
      </c>
      <c r="AT29" s="91">
        <v>2.1</v>
      </c>
      <c r="AU29" s="91">
        <v>2.2000000000000002</v>
      </c>
      <c r="AV29" s="91">
        <v>2.5</v>
      </c>
      <c r="AW29" s="91">
        <v>3</v>
      </c>
      <c r="AX29" s="91">
        <v>3.6</v>
      </c>
      <c r="AY29" s="91">
        <v>4.3</v>
      </c>
      <c r="AZ29" s="91">
        <v>4.7</v>
      </c>
      <c r="BA29" s="91">
        <v>5.0999999999999996</v>
      </c>
      <c r="BB29" s="91">
        <v>5.2</v>
      </c>
      <c r="BC29" s="91">
        <v>5</v>
      </c>
      <c r="BD29" s="91">
        <v>4.8</v>
      </c>
      <c r="BE29" s="91">
        <v>4.5</v>
      </c>
      <c r="BF29" s="91">
        <v>4.2</v>
      </c>
      <c r="BG29" s="91">
        <v>4</v>
      </c>
      <c r="BH29" s="91">
        <v>3.8</v>
      </c>
      <c r="BI29" s="91">
        <v>3.7</v>
      </c>
      <c r="BJ29" s="91">
        <v>3.6</v>
      </c>
      <c r="BK29" s="91">
        <v>3.5</v>
      </c>
      <c r="BL29" s="91">
        <v>3.4</v>
      </c>
      <c r="BM29" s="91">
        <v>3.3</v>
      </c>
      <c r="BN29" s="91">
        <v>3.2</v>
      </c>
      <c r="BO29" s="91">
        <v>3.2</v>
      </c>
      <c r="BP29" s="91">
        <v>3.1</v>
      </c>
      <c r="BQ29" s="91">
        <v>3.1</v>
      </c>
      <c r="BR29" s="91">
        <v>3.1</v>
      </c>
      <c r="BS29" s="91">
        <v>3</v>
      </c>
      <c r="BT29" s="91">
        <v>3</v>
      </c>
      <c r="BU29" s="91">
        <v>3</v>
      </c>
      <c r="BV29" s="91">
        <v>2.9</v>
      </c>
      <c r="BW29" s="91">
        <v>2.9</v>
      </c>
      <c r="BX29" s="91">
        <v>2.8</v>
      </c>
      <c r="BY29" s="91">
        <v>2.8</v>
      </c>
      <c r="BZ29" s="91">
        <v>2.8</v>
      </c>
      <c r="CA29" s="91">
        <v>2.8</v>
      </c>
      <c r="CB29" s="91">
        <v>2.8</v>
      </c>
      <c r="CC29" s="91">
        <v>2.8</v>
      </c>
      <c r="CD29" s="91">
        <v>2.8</v>
      </c>
      <c r="CE29" s="91">
        <v>2.8</v>
      </c>
      <c r="CF29" s="91">
        <v>2.8</v>
      </c>
      <c r="CG29" s="91">
        <v>2.8</v>
      </c>
      <c r="CH29" s="91">
        <v>2.8</v>
      </c>
      <c r="CI29" s="91">
        <v>2.8</v>
      </c>
      <c r="CJ29" s="91">
        <v>2.8</v>
      </c>
      <c r="CK29" s="91">
        <v>2.8</v>
      </c>
      <c r="CL29" s="91">
        <v>2.8</v>
      </c>
      <c r="CM29" s="91">
        <v>2.8</v>
      </c>
      <c r="CN29" s="91">
        <v>2.8</v>
      </c>
      <c r="CO29" s="91">
        <v>2.8</v>
      </c>
      <c r="CP29" s="91">
        <v>2.8</v>
      </c>
      <c r="CQ29" s="91">
        <v>2.8</v>
      </c>
      <c r="CR29" s="91">
        <v>2.8</v>
      </c>
      <c r="CS29" s="91">
        <v>2.8</v>
      </c>
      <c r="CT29" s="91">
        <v>2.8</v>
      </c>
      <c r="CU29" s="91">
        <v>2.8</v>
      </c>
      <c r="CV29" s="91">
        <v>2.8</v>
      </c>
      <c r="CW29" s="92">
        <v>2.8</v>
      </c>
    </row>
    <row r="30" spans="1:101" x14ac:dyDescent="0.25">
      <c r="A30" s="93" t="s">
        <v>348</v>
      </c>
      <c r="CW30" s="87"/>
    </row>
    <row r="31" spans="1:101" x14ac:dyDescent="0.25">
      <c r="A31" s="97" t="s">
        <v>337</v>
      </c>
      <c r="B31" s="98">
        <v>0.876</v>
      </c>
      <c r="C31" s="98">
        <v>0.879</v>
      </c>
      <c r="D31" s="98">
        <v>0.88400000000000001</v>
      </c>
      <c r="E31" s="98">
        <v>0.88600000000000001</v>
      </c>
      <c r="F31" s="98">
        <v>0.89200000000000002</v>
      </c>
      <c r="G31" s="98">
        <v>0.89600000000000002</v>
      </c>
      <c r="H31" s="98">
        <v>0.89900000000000002</v>
      </c>
      <c r="I31" s="98">
        <v>0.90100000000000002</v>
      </c>
      <c r="J31" s="98">
        <v>0.90700000000000003</v>
      </c>
      <c r="K31" s="98">
        <v>0.91100000000000003</v>
      </c>
      <c r="L31" s="98">
        <v>0.91400000000000003</v>
      </c>
      <c r="M31" s="98">
        <v>0.91700000000000004</v>
      </c>
      <c r="N31" s="98">
        <v>0.92200000000000004</v>
      </c>
      <c r="O31" s="98">
        <v>0.92700000000000005</v>
      </c>
      <c r="P31" s="98">
        <v>0.93100000000000005</v>
      </c>
      <c r="Q31" s="98">
        <v>0.93400000000000005</v>
      </c>
      <c r="R31" s="98">
        <v>0.93700000000000006</v>
      </c>
      <c r="S31" s="98">
        <v>0.94299999999999995</v>
      </c>
      <c r="T31" s="98">
        <v>0.94699999999999995</v>
      </c>
      <c r="U31" s="98">
        <v>0.95099999999999996</v>
      </c>
      <c r="V31" s="98">
        <v>0.95699999999999996</v>
      </c>
      <c r="W31" s="98">
        <v>0.96</v>
      </c>
      <c r="X31" s="98">
        <v>0.96399999999999997</v>
      </c>
      <c r="Y31" s="98">
        <v>0.96699999999999997</v>
      </c>
      <c r="Z31" s="98">
        <v>0.97399999999999998</v>
      </c>
      <c r="AA31" s="98">
        <v>0.97799999999999998</v>
      </c>
      <c r="AB31" s="98">
        <v>0.98199999999999998</v>
      </c>
      <c r="AC31" s="98">
        <v>0.98499999999999999</v>
      </c>
      <c r="AD31" s="98">
        <v>0.99299999999999999</v>
      </c>
      <c r="AE31" s="98">
        <v>0.999</v>
      </c>
      <c r="AF31" s="98">
        <v>1.002</v>
      </c>
      <c r="AG31" s="98">
        <v>1.0069999999999999</v>
      </c>
      <c r="AH31" s="98">
        <v>1.0149999999999999</v>
      </c>
      <c r="AI31" s="98">
        <v>1.02</v>
      </c>
      <c r="AJ31" s="98">
        <v>1.0269999999999999</v>
      </c>
      <c r="AK31" s="98">
        <v>1.0329999999999999</v>
      </c>
      <c r="AL31" s="98">
        <v>1.04</v>
      </c>
      <c r="AM31" s="98">
        <v>1.0449999999999999</v>
      </c>
      <c r="AN31" s="98">
        <v>1.052</v>
      </c>
      <c r="AO31" s="98">
        <v>1.056</v>
      </c>
      <c r="AP31" s="98">
        <v>1.0660000000000001</v>
      </c>
      <c r="AQ31" s="98">
        <v>1.0669999999999999</v>
      </c>
      <c r="AR31" s="98">
        <v>1.075</v>
      </c>
      <c r="AS31" s="98">
        <v>1.08</v>
      </c>
      <c r="AT31" s="98">
        <v>1.089</v>
      </c>
      <c r="AU31" s="98">
        <v>1.097</v>
      </c>
      <c r="AV31" s="98">
        <v>1.1120000000000001</v>
      </c>
      <c r="AW31" s="98">
        <v>1.123</v>
      </c>
      <c r="AX31" s="98">
        <v>1.1399999999999999</v>
      </c>
      <c r="AY31" s="98">
        <v>1.1539999999999999</v>
      </c>
      <c r="AZ31" s="98">
        <v>1.1679999999999999</v>
      </c>
      <c r="BA31" s="98">
        <v>1.18</v>
      </c>
      <c r="BB31" s="98">
        <v>1.1970000000000001</v>
      </c>
      <c r="BC31" s="98">
        <v>1.208</v>
      </c>
      <c r="BD31" s="98">
        <v>1.2210000000000001</v>
      </c>
      <c r="BE31" s="98">
        <v>1.228</v>
      </c>
      <c r="BF31" s="98">
        <v>1.244</v>
      </c>
      <c r="BG31" s="98">
        <v>1.2549999999999999</v>
      </c>
      <c r="BH31" s="98">
        <v>1.2649999999999999</v>
      </c>
      <c r="BI31" s="99">
        <v>1.2729999999999999</v>
      </c>
      <c r="BJ31" s="98">
        <v>1.288</v>
      </c>
      <c r="BK31" s="98">
        <v>1.298</v>
      </c>
      <c r="BL31" s="98">
        <v>1.3080000000000001</v>
      </c>
      <c r="BM31" s="98">
        <v>1.3149999999999999</v>
      </c>
      <c r="BN31" s="98">
        <v>1.329</v>
      </c>
      <c r="BO31" s="98">
        <v>1.3380000000000001</v>
      </c>
      <c r="BP31" s="98">
        <v>1.3480000000000001</v>
      </c>
      <c r="BQ31" s="98">
        <v>1.3560000000000001</v>
      </c>
      <c r="BR31" s="98">
        <v>1.369</v>
      </c>
      <c r="BS31" s="98">
        <v>1.3779999999999999</v>
      </c>
      <c r="BT31" s="98">
        <v>1.387</v>
      </c>
      <c r="BU31" s="98">
        <v>1.3939999999999999</v>
      </c>
      <c r="BV31" s="98">
        <v>1.407</v>
      </c>
      <c r="BW31" s="98">
        <v>1.4159999999999999</v>
      </c>
      <c r="BX31" s="98">
        <v>1.4259999999999999</v>
      </c>
      <c r="BY31" s="98">
        <v>1.4330000000000001</v>
      </c>
      <c r="BZ31" s="98">
        <v>1.446</v>
      </c>
      <c r="CA31" s="98">
        <v>1.4550000000000001</v>
      </c>
      <c r="CB31" s="98">
        <v>1.4650000000000001</v>
      </c>
      <c r="CC31" s="98">
        <v>1.4730000000000001</v>
      </c>
      <c r="CD31" s="98">
        <v>1.486</v>
      </c>
      <c r="CE31" s="98">
        <v>1.496</v>
      </c>
      <c r="CF31" s="98">
        <v>1.506</v>
      </c>
      <c r="CG31" s="98">
        <v>1.5129999999999999</v>
      </c>
      <c r="CH31" s="98">
        <v>1.5269999999999999</v>
      </c>
      <c r="CI31" s="98">
        <v>1.5369999999999999</v>
      </c>
      <c r="CJ31" s="98">
        <v>1.5469999999999999</v>
      </c>
      <c r="CK31" s="98">
        <v>1.5549999999999999</v>
      </c>
      <c r="CL31" s="98">
        <v>1.569</v>
      </c>
      <c r="CM31" s="98">
        <v>1.579</v>
      </c>
      <c r="CN31" s="98">
        <v>1.59</v>
      </c>
      <c r="CO31" s="98">
        <v>1.5980000000000001</v>
      </c>
      <c r="CP31" s="98">
        <v>1.6120000000000001</v>
      </c>
      <c r="CQ31" s="98">
        <v>1.6220000000000001</v>
      </c>
      <c r="CR31" s="98">
        <v>1.6339999999999999</v>
      </c>
      <c r="CS31" s="98">
        <v>1.6419999999999999</v>
      </c>
      <c r="CT31" s="98">
        <v>1.657</v>
      </c>
      <c r="CU31" s="98">
        <v>1.667</v>
      </c>
      <c r="CV31" s="98">
        <v>1.679</v>
      </c>
      <c r="CW31" s="100">
        <v>1.6870000000000001</v>
      </c>
    </row>
    <row r="32" spans="1:101" x14ac:dyDescent="0.25">
      <c r="A32" s="101" t="s">
        <v>349</v>
      </c>
      <c r="B32" s="102">
        <v>0.4</v>
      </c>
      <c r="C32" s="102">
        <v>0.29999999999999993</v>
      </c>
      <c r="D32" s="102">
        <v>0.19999999999999996</v>
      </c>
      <c r="E32" s="102">
        <v>0.39999999999999991</v>
      </c>
      <c r="F32" s="102">
        <v>0.60000000000000009</v>
      </c>
      <c r="G32" s="102">
        <v>0.59999999999999987</v>
      </c>
      <c r="H32" s="102">
        <v>0.59999999999999987</v>
      </c>
      <c r="I32" s="102">
        <v>0.59999999999999987</v>
      </c>
      <c r="J32" s="102">
        <v>0.7</v>
      </c>
      <c r="K32" s="102">
        <v>0.7</v>
      </c>
      <c r="L32" s="102">
        <v>0.79999999999999993</v>
      </c>
      <c r="M32" s="102">
        <v>0.79999999999999993</v>
      </c>
      <c r="N32" s="102">
        <v>0.79999999999999993</v>
      </c>
      <c r="O32" s="102">
        <v>0.79999999999999993</v>
      </c>
      <c r="P32" s="102">
        <v>0.9</v>
      </c>
      <c r="Q32" s="102">
        <v>1</v>
      </c>
      <c r="R32" s="102">
        <v>1</v>
      </c>
      <c r="S32" s="102">
        <v>1.1000000000000001</v>
      </c>
      <c r="T32" s="102">
        <v>1.1000000000000001</v>
      </c>
      <c r="U32" s="102">
        <v>1.1000000000000001</v>
      </c>
      <c r="V32" s="102">
        <v>1.2999999999999998</v>
      </c>
      <c r="W32" s="102">
        <v>1.4</v>
      </c>
      <c r="X32" s="102">
        <v>1.4</v>
      </c>
      <c r="Y32" s="102">
        <v>1.4</v>
      </c>
      <c r="Z32" s="102">
        <v>1.3</v>
      </c>
      <c r="AA32" s="102">
        <v>1.3</v>
      </c>
      <c r="AB32" s="102">
        <v>1.3</v>
      </c>
      <c r="AC32" s="102">
        <v>1.5</v>
      </c>
      <c r="AD32" s="102">
        <v>1.5</v>
      </c>
      <c r="AE32" s="102">
        <v>1.5</v>
      </c>
      <c r="AF32" s="102">
        <v>1.5</v>
      </c>
      <c r="AG32" s="102">
        <v>1.5</v>
      </c>
      <c r="AH32" s="102">
        <v>1.6</v>
      </c>
      <c r="AI32" s="102">
        <v>1.7000000000000002</v>
      </c>
      <c r="AJ32" s="102">
        <v>1.7999999999999998</v>
      </c>
      <c r="AK32" s="102">
        <v>1.9</v>
      </c>
      <c r="AL32" s="102">
        <v>1.7999999999999998</v>
      </c>
      <c r="AM32" s="102">
        <v>1.9</v>
      </c>
      <c r="AN32" s="102">
        <v>1.8</v>
      </c>
      <c r="AO32" s="102">
        <v>1.5999999999999999</v>
      </c>
      <c r="AP32" s="102">
        <v>1.5999999999999999</v>
      </c>
      <c r="AQ32" s="102">
        <v>1.5999999999999999</v>
      </c>
      <c r="AR32" s="102">
        <v>1.6999999999999997</v>
      </c>
      <c r="AS32" s="102">
        <v>1.7999999999999998</v>
      </c>
      <c r="AT32" s="102">
        <v>1.7000000000000002</v>
      </c>
      <c r="AU32" s="102">
        <v>1.9</v>
      </c>
      <c r="AV32" s="102">
        <v>2.2000000000000002</v>
      </c>
      <c r="AW32" s="102">
        <v>2.5</v>
      </c>
      <c r="AX32" s="102">
        <v>3</v>
      </c>
      <c r="AY32" s="102">
        <v>3.4</v>
      </c>
      <c r="AZ32" s="102">
        <v>3.8000000000000003</v>
      </c>
      <c r="BA32" s="102">
        <v>4.2</v>
      </c>
      <c r="BB32" s="102">
        <v>4.3999999999999995</v>
      </c>
      <c r="BC32" s="102">
        <v>4.3</v>
      </c>
      <c r="BD32" s="102">
        <v>4.2</v>
      </c>
      <c r="BE32" s="102">
        <v>3.8999999999999995</v>
      </c>
      <c r="BF32" s="102">
        <v>3.5999999999999996</v>
      </c>
      <c r="BG32" s="102">
        <v>3.3999999999999995</v>
      </c>
      <c r="BH32" s="102">
        <v>3.0999999999999996</v>
      </c>
      <c r="BI32" s="102">
        <v>3</v>
      </c>
      <c r="BJ32" s="102">
        <v>2.9000000000000004</v>
      </c>
      <c r="BK32" s="102">
        <v>2.8</v>
      </c>
      <c r="BL32" s="102">
        <v>2.8</v>
      </c>
      <c r="BM32" s="102">
        <v>2.7</v>
      </c>
      <c r="BN32" s="102">
        <v>2.5999999999999996</v>
      </c>
      <c r="BO32" s="102">
        <v>2.5</v>
      </c>
      <c r="BP32" s="102">
        <v>2.5</v>
      </c>
      <c r="BQ32" s="102">
        <v>2.2999999999999998</v>
      </c>
      <c r="BR32" s="102">
        <v>2.2999999999999998</v>
      </c>
      <c r="BS32" s="102">
        <v>2.2000000000000002</v>
      </c>
      <c r="BT32" s="102">
        <v>2.2000000000000002</v>
      </c>
      <c r="BU32" s="102">
        <v>2.0999999999999996</v>
      </c>
      <c r="BV32" s="102">
        <v>2.0999999999999996</v>
      </c>
      <c r="BW32" s="102">
        <v>1.9999999999999998</v>
      </c>
      <c r="BX32" s="102">
        <v>1.9999999999999998</v>
      </c>
      <c r="BY32" s="102">
        <v>1.9999999999999998</v>
      </c>
      <c r="BZ32" s="102">
        <v>1.9999999999999998</v>
      </c>
      <c r="CA32" s="102">
        <v>1.9999999999999998</v>
      </c>
      <c r="CB32" s="102">
        <v>1.9999999999999998</v>
      </c>
      <c r="CC32" s="102">
        <v>1.9999999999999998</v>
      </c>
      <c r="CD32" s="102">
        <v>2.0999999999999996</v>
      </c>
      <c r="CE32" s="102">
        <v>2.0999999999999996</v>
      </c>
      <c r="CF32" s="102">
        <v>1.9999999999999998</v>
      </c>
      <c r="CG32" s="102">
        <v>1.9999999999999998</v>
      </c>
      <c r="CH32" s="102">
        <v>1.9999999999999998</v>
      </c>
      <c r="CI32" s="102">
        <v>1.9999999999999998</v>
      </c>
      <c r="CJ32" s="102">
        <v>1.9999999999999998</v>
      </c>
      <c r="CK32" s="102">
        <v>2.0999999999999996</v>
      </c>
      <c r="CL32" s="102">
        <v>2.0999999999999996</v>
      </c>
      <c r="CM32" s="102">
        <v>2.1999999999999997</v>
      </c>
      <c r="CN32" s="102">
        <v>2.1999999999999997</v>
      </c>
      <c r="CO32" s="102">
        <v>2.1</v>
      </c>
      <c r="CP32" s="102">
        <v>2</v>
      </c>
      <c r="CQ32" s="102">
        <v>1.9000000000000001</v>
      </c>
      <c r="CR32" s="102">
        <v>1.9000000000000001</v>
      </c>
      <c r="CS32" s="102">
        <v>1.9000000000000001</v>
      </c>
      <c r="CT32" s="102">
        <v>1.9999999999999998</v>
      </c>
      <c r="CU32" s="102">
        <v>2.0999999999999996</v>
      </c>
      <c r="CV32" s="102">
        <v>2.0999999999999996</v>
      </c>
      <c r="CW32" s="103">
        <v>2.0999999999999996</v>
      </c>
    </row>
    <row r="33" spans="1:1" x14ac:dyDescent="0.25">
      <c r="A33" s="104" t="s">
        <v>350</v>
      </c>
    </row>
    <row r="34" spans="1:1" x14ac:dyDescent="0.25">
      <c r="A34" s="104" t="s">
        <v>351</v>
      </c>
    </row>
    <row r="35" spans="1:1" x14ac:dyDescent="0.25">
      <c r="A35" s="81" t="s">
        <v>352</v>
      </c>
    </row>
    <row r="36" spans="1:1" x14ac:dyDescent="0.25">
      <c r="A36" s="81" t="s">
        <v>353</v>
      </c>
    </row>
    <row r="37" spans="1:1" x14ac:dyDescent="0.25">
      <c r="A37" s="81" t="s">
        <v>354</v>
      </c>
    </row>
    <row r="38" spans="1:1" x14ac:dyDescent="0.25">
      <c r="A38" s="81" t="s">
        <v>355</v>
      </c>
    </row>
    <row r="40" spans="1:1" x14ac:dyDescent="0.25">
      <c r="A40" s="104"/>
    </row>
    <row r="42" spans="1:1" x14ac:dyDescent="0.25">
      <c r="A42" s="78"/>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
  <sheetViews>
    <sheetView topLeftCell="A18" workbookViewId="0">
      <selection activeCell="B37" sqref="B37"/>
    </sheetView>
  </sheetViews>
  <sheetFormatPr defaultColWidth="9.140625" defaultRowHeight="15" x14ac:dyDescent="0.25"/>
  <cols>
    <col min="1" max="1" width="11.28515625" style="22" customWidth="1"/>
    <col min="2" max="2" width="90.140625" style="22" bestFit="1" customWidth="1"/>
    <col min="3" max="8" width="11.28515625" style="22" customWidth="1"/>
    <col min="9" max="10" width="13.85546875" style="22" customWidth="1"/>
    <col min="11" max="16384" width="9.140625" style="22"/>
  </cols>
  <sheetData>
    <row r="1" spans="1:12" x14ac:dyDescent="0.25">
      <c r="A1" s="24" t="str">
        <f>Cover!A1</f>
        <v>Utah Department of Health &amp; Human Services, Office of Reimbursement, Coordinated Care &amp; Audit</v>
      </c>
    </row>
    <row r="2" spans="1:12" x14ac:dyDescent="0.25">
      <c r="A2" s="24" t="str">
        <f>Cover!A2</f>
        <v>Medicaid Rate Study</v>
      </c>
    </row>
    <row r="3" spans="1:12" x14ac:dyDescent="0.25">
      <c r="A3" s="24" t="str">
        <f>Cover!A3&amp;"-1"</f>
        <v>2025 Home and Community Based Services (HCBS) - Exhibit A-1</v>
      </c>
    </row>
    <row r="4" spans="1:12" x14ac:dyDescent="0.25">
      <c r="A4" s="22" t="s">
        <v>29</v>
      </c>
    </row>
    <row r="6" spans="1:12" x14ac:dyDescent="0.25">
      <c r="G6" s="23" t="s">
        <v>16</v>
      </c>
      <c r="H6" s="33"/>
      <c r="I6" s="19" t="s">
        <v>18</v>
      </c>
      <c r="J6" s="20"/>
    </row>
    <row r="7" spans="1:12" ht="60.75" thickBot="1" x14ac:dyDescent="0.3">
      <c r="A7" s="6" t="s">
        <v>214</v>
      </c>
      <c r="B7" s="6" t="s">
        <v>0</v>
      </c>
      <c r="C7" s="6" t="s">
        <v>27</v>
      </c>
      <c r="D7" s="6" t="s">
        <v>213</v>
      </c>
      <c r="E7" s="6" t="s">
        <v>17</v>
      </c>
      <c r="F7" s="6" t="s">
        <v>25</v>
      </c>
      <c r="G7" s="6" t="s">
        <v>47</v>
      </c>
      <c r="H7" s="6" t="s">
        <v>26</v>
      </c>
      <c r="I7" s="21" t="s">
        <v>1</v>
      </c>
      <c r="J7" s="6" t="s">
        <v>2</v>
      </c>
    </row>
    <row r="8" spans="1:12" x14ac:dyDescent="0.25">
      <c r="A8" s="54" t="s">
        <v>48</v>
      </c>
      <c r="B8" s="44" t="s">
        <v>70</v>
      </c>
      <c r="C8" s="45" t="s">
        <v>209</v>
      </c>
      <c r="D8" s="49">
        <v>45108</v>
      </c>
      <c r="E8" s="74">
        <v>4.2588042588042441E-2</v>
      </c>
      <c r="F8" s="36">
        <v>19.760000000000002</v>
      </c>
      <c r="G8" s="130">
        <f>AVERAGEIF('A-4a 15min Unit Cost Calc'!$C$10:$C$123,A8,'A-4a 15min Unit Cost Calc'!$G$10:$G$123)</f>
        <v>24.769357066192828</v>
      </c>
      <c r="H8" s="74">
        <f>F8/G8</f>
        <v>0.79775990742085134</v>
      </c>
      <c r="I8" s="140">
        <f>'A-5 Border States'!D8</f>
        <v>0</v>
      </c>
      <c r="J8" s="74">
        <f>IFERROR(F8/I80,0)</f>
        <v>0</v>
      </c>
      <c r="L8" s="152"/>
    </row>
    <row r="9" spans="1:12" x14ac:dyDescent="0.25">
      <c r="A9" s="55" t="s">
        <v>49</v>
      </c>
      <c r="B9" s="56" t="s">
        <v>71</v>
      </c>
      <c r="C9" s="46" t="s">
        <v>210</v>
      </c>
      <c r="D9" s="50">
        <v>45566</v>
      </c>
      <c r="E9" s="75">
        <v>0</v>
      </c>
      <c r="F9" s="52">
        <v>5.32</v>
      </c>
      <c r="G9" s="52">
        <f>AVERAGEIF('A-4a 15min Unit Cost Calc'!$C$10:$C$123,A9,'A-4a 15min Unit Cost Calc'!$G$10:$G$123)</f>
        <v>7.2779414306322421</v>
      </c>
      <c r="H9" s="75">
        <f t="shared" ref="H9:H46" si="0">F9/G9</f>
        <v>0.73097592921104981</v>
      </c>
      <c r="I9" s="141">
        <f>'A-5 Border States'!D9</f>
        <v>9.1999999999999993</v>
      </c>
      <c r="J9" s="75">
        <f t="shared" ref="J9:J46" si="1">F9/I9</f>
        <v>0.57826086956521749</v>
      </c>
      <c r="L9" s="152"/>
    </row>
    <row r="10" spans="1:12" x14ac:dyDescent="0.25">
      <c r="A10" s="55" t="s">
        <v>49</v>
      </c>
      <c r="B10" s="56" t="s">
        <v>71</v>
      </c>
      <c r="C10" s="46" t="s">
        <v>209</v>
      </c>
      <c r="D10" s="50">
        <v>45108</v>
      </c>
      <c r="E10" s="75">
        <v>4.2588042588042441E-2</v>
      </c>
      <c r="F10" s="52">
        <v>4.72</v>
      </c>
      <c r="G10" s="52">
        <f>AVERAGEIF('A-4a 15min Unit Cost Calc'!$C$10:$C$123,A10,'A-4a 15min Unit Cost Calc'!$G$10:$G$123)</f>
        <v>7.2779414306322421</v>
      </c>
      <c r="H10" s="75">
        <f t="shared" si="0"/>
        <v>0.64853503493912679</v>
      </c>
      <c r="I10" s="141">
        <f>'A-5 Border States'!D10</f>
        <v>9.1999999999999993</v>
      </c>
      <c r="J10" s="75">
        <f t="shared" si="1"/>
        <v>0.5130434782608696</v>
      </c>
      <c r="L10" s="152"/>
    </row>
    <row r="11" spans="1:12" x14ac:dyDescent="0.25">
      <c r="A11" s="57" t="s">
        <v>50</v>
      </c>
      <c r="B11" s="9" t="s">
        <v>215</v>
      </c>
      <c r="C11" s="47" t="s">
        <v>209</v>
      </c>
      <c r="D11" s="49">
        <v>45108</v>
      </c>
      <c r="E11" s="76">
        <v>4.2588042588042441E-2</v>
      </c>
      <c r="F11" s="32">
        <v>40</v>
      </c>
      <c r="G11" s="130">
        <f>AVERAGEIF('A-4f Per Diem Unit Cost Calc'!$C$10:$C$82,A11,'A-4f Per Diem Unit Cost Calc'!$J$10:$J$82)</f>
        <v>122.94079489378423</v>
      </c>
      <c r="H11" s="76">
        <f t="shared" si="0"/>
        <v>0.3253598615053559</v>
      </c>
      <c r="I11" s="140">
        <f>'A-5 Border States'!D11</f>
        <v>96.26</v>
      </c>
      <c r="J11" s="76">
        <f t="shared" si="1"/>
        <v>0.41554124246831498</v>
      </c>
      <c r="L11" s="152"/>
    </row>
    <row r="12" spans="1:12" x14ac:dyDescent="0.25">
      <c r="A12" s="55" t="s">
        <v>51</v>
      </c>
      <c r="B12" s="56" t="s">
        <v>216</v>
      </c>
      <c r="C12" s="46" t="s">
        <v>210</v>
      </c>
      <c r="D12" s="50">
        <v>45566</v>
      </c>
      <c r="E12" s="75">
        <v>0</v>
      </c>
      <c r="F12" s="52">
        <v>203.02</v>
      </c>
      <c r="G12" s="52">
        <f>AVERAGEIF('A-4b Visit Unit Cost Calc'!$C$10:$C$42,A12,'A-4b Visit Unit Cost Calc'!$H$10:$H$42)</f>
        <v>473.2999073623526</v>
      </c>
      <c r="H12" s="75">
        <f t="shared" si="0"/>
        <v>0.4289457843577611</v>
      </c>
      <c r="I12" s="141">
        <f>'A-5 Border States'!D12</f>
        <v>189.57499999999999</v>
      </c>
      <c r="J12" s="75">
        <f t="shared" si="1"/>
        <v>1.0709217987603852</v>
      </c>
      <c r="L12" s="152"/>
    </row>
    <row r="13" spans="1:12" x14ac:dyDescent="0.25">
      <c r="A13" s="55" t="s">
        <v>51</v>
      </c>
      <c r="B13" s="56" t="s">
        <v>216</v>
      </c>
      <c r="C13" s="46" t="s">
        <v>209</v>
      </c>
      <c r="D13" s="50">
        <v>45108</v>
      </c>
      <c r="E13" s="75">
        <v>4.2588042588042441E-2</v>
      </c>
      <c r="F13" s="52">
        <v>138.5</v>
      </c>
      <c r="G13" s="52">
        <f>AVERAGEIF('A-4b Visit Unit Cost Calc'!$C$10:$C$42,A13,'A-4b Visit Unit Cost Calc'!$H$10:$H$42)</f>
        <v>473.2999073623526</v>
      </c>
      <c r="H13" s="75">
        <f t="shared" si="0"/>
        <v>0.29262629855950106</v>
      </c>
      <c r="I13" s="141">
        <f>'A-5 Border States'!D13</f>
        <v>189.57499999999999</v>
      </c>
      <c r="J13" s="75">
        <f t="shared" si="1"/>
        <v>0.73058156402479235</v>
      </c>
      <c r="L13" s="152"/>
    </row>
    <row r="14" spans="1:12" x14ac:dyDescent="0.25">
      <c r="A14" s="57" t="s">
        <v>52</v>
      </c>
      <c r="B14" s="9" t="s">
        <v>217</v>
      </c>
      <c r="C14" s="47" t="s">
        <v>210</v>
      </c>
      <c r="D14" s="49">
        <v>45566</v>
      </c>
      <c r="E14" s="76">
        <v>0</v>
      </c>
      <c r="F14" s="32">
        <v>43.24</v>
      </c>
      <c r="G14" s="130">
        <f>AVERAGEIF('A-4b Visit Unit Cost Calc'!$C$10:$C$42,A14,'A-4b Visit Unit Cost Calc'!$H$10:$H$42)</f>
        <v>162.21472678530768</v>
      </c>
      <c r="H14" s="76">
        <f t="shared" si="0"/>
        <v>0.266560261555219</v>
      </c>
      <c r="I14" s="140">
        <f>'A-5 Border States'!D14</f>
        <v>78.295000000000002</v>
      </c>
      <c r="J14" s="76">
        <f t="shared" si="1"/>
        <v>0.55227025991442624</v>
      </c>
      <c r="L14" s="152"/>
    </row>
    <row r="15" spans="1:12" x14ac:dyDescent="0.25">
      <c r="A15" s="57" t="s">
        <v>52</v>
      </c>
      <c r="B15" s="9" t="s">
        <v>217</v>
      </c>
      <c r="C15" s="47" t="s">
        <v>209</v>
      </c>
      <c r="D15" s="49">
        <v>45108</v>
      </c>
      <c r="E15" s="76">
        <v>4.2588042588042441E-2</v>
      </c>
      <c r="F15" s="32">
        <v>37.659999999999997</v>
      </c>
      <c r="G15" s="130">
        <f>AVERAGEIF('A-4b Visit Unit Cost Calc'!$C$10:$C$42,A15,'A-4b Visit Unit Cost Calc'!$H$10:$H$42)</f>
        <v>162.21472678530768</v>
      </c>
      <c r="H15" s="76">
        <f t="shared" si="0"/>
        <v>0.23216141189106257</v>
      </c>
      <c r="I15" s="140">
        <f>'A-5 Border States'!D15</f>
        <v>78.295000000000002</v>
      </c>
      <c r="J15" s="76">
        <f t="shared" si="1"/>
        <v>0.48100134108180592</v>
      </c>
      <c r="L15" s="152"/>
    </row>
    <row r="16" spans="1:12" x14ac:dyDescent="0.25">
      <c r="A16" s="55" t="s">
        <v>53</v>
      </c>
      <c r="B16" s="56" t="s">
        <v>218</v>
      </c>
      <c r="C16" s="46" t="s">
        <v>210</v>
      </c>
      <c r="D16" s="50">
        <v>45566</v>
      </c>
      <c r="E16" s="75">
        <v>0</v>
      </c>
      <c r="F16" s="52">
        <v>4.62</v>
      </c>
      <c r="G16" s="52">
        <f>AVERAGEIF('A-4a 15min Unit Cost Calc'!$C$10:$C$123,A16,'A-4a 15min Unit Cost Calc'!$G$10:$G$123)</f>
        <v>7.9273973682735797</v>
      </c>
      <c r="H16" s="75">
        <f t="shared" si="0"/>
        <v>0.58278900190998484</v>
      </c>
      <c r="I16" s="141">
        <f>'A-5 Border States'!D16</f>
        <v>6.6450000000000005</v>
      </c>
      <c r="J16" s="75">
        <f t="shared" si="1"/>
        <v>0.69525959367945822</v>
      </c>
      <c r="L16" s="152"/>
    </row>
    <row r="17" spans="1:12" x14ac:dyDescent="0.25">
      <c r="A17" s="55" t="s">
        <v>53</v>
      </c>
      <c r="B17" s="56" t="s">
        <v>218</v>
      </c>
      <c r="C17" s="46" t="s">
        <v>209</v>
      </c>
      <c r="D17" s="50">
        <v>45108</v>
      </c>
      <c r="E17" s="75">
        <v>4.2588042588042441E-2</v>
      </c>
      <c r="F17" s="52">
        <v>7.5</v>
      </c>
      <c r="G17" s="52">
        <f>AVERAGEIF('A-4a 15min Unit Cost Calc'!$C$10:$C$123,A17,'A-4a 15min Unit Cost Calc'!$G$10:$G$123)</f>
        <v>7.9273973682735797</v>
      </c>
      <c r="H17" s="75">
        <f t="shared" si="0"/>
        <v>0.94608604206166369</v>
      </c>
      <c r="I17" s="141">
        <f>'A-5 Border States'!D17</f>
        <v>6.6450000000000005</v>
      </c>
      <c r="J17" s="75">
        <f t="shared" si="1"/>
        <v>1.1286681715575619</v>
      </c>
      <c r="L17" s="152"/>
    </row>
    <row r="18" spans="1:12" x14ac:dyDescent="0.25">
      <c r="A18" s="57" t="s">
        <v>54</v>
      </c>
      <c r="B18" s="9" t="s">
        <v>72</v>
      </c>
      <c r="C18" s="47" t="s">
        <v>210</v>
      </c>
      <c r="D18" s="49">
        <v>45566</v>
      </c>
      <c r="E18" s="76">
        <v>0</v>
      </c>
      <c r="F18" s="32">
        <v>8.02</v>
      </c>
      <c r="G18" s="130">
        <f>AVERAGEIF('A-4a 15min Unit Cost Calc'!$C$10:$C$123,A18,'A-4a 15min Unit Cost Calc'!$G$10:$G$123)</f>
        <v>9.9950050702732831</v>
      </c>
      <c r="H18" s="76">
        <f t="shared" si="0"/>
        <v>0.80240079355764815</v>
      </c>
      <c r="I18" s="140">
        <f>'A-5 Border States'!D18</f>
        <v>7.0153571428571428</v>
      </c>
      <c r="J18" s="76">
        <f t="shared" si="1"/>
        <v>1.1432062312274092</v>
      </c>
      <c r="L18" s="152"/>
    </row>
    <row r="19" spans="1:12" x14ac:dyDescent="0.25">
      <c r="A19" s="57" t="s">
        <v>54</v>
      </c>
      <c r="B19" s="9" t="s">
        <v>72</v>
      </c>
      <c r="C19" s="47" t="s">
        <v>209</v>
      </c>
      <c r="D19" s="49">
        <v>45108</v>
      </c>
      <c r="E19" s="76">
        <v>4.2588042588042441E-2</v>
      </c>
      <c r="F19" s="32">
        <v>6.21</v>
      </c>
      <c r="G19" s="130">
        <f>AVERAGEIF('A-4a 15min Unit Cost Calc'!$C$10:$C$123,A19,'A-4a 15min Unit Cost Calc'!$G$10:$G$123)</f>
        <v>9.9950050702732831</v>
      </c>
      <c r="H19" s="76">
        <f t="shared" si="0"/>
        <v>0.62131034014875253</v>
      </c>
      <c r="I19" s="140">
        <f>'A-5 Border States'!D19</f>
        <v>7.0153571428571428</v>
      </c>
      <c r="J19" s="76">
        <f t="shared" si="1"/>
        <v>0.88520083490301893</v>
      </c>
      <c r="L19" s="152"/>
    </row>
    <row r="20" spans="1:12" x14ac:dyDescent="0.25">
      <c r="A20" s="55" t="s">
        <v>55</v>
      </c>
      <c r="B20" s="56" t="s">
        <v>219</v>
      </c>
      <c r="C20" s="46" t="s">
        <v>210</v>
      </c>
      <c r="D20" s="51">
        <v>45566</v>
      </c>
      <c r="E20" s="75">
        <v>0</v>
      </c>
      <c r="F20" s="52">
        <v>4.97</v>
      </c>
      <c r="G20" s="52">
        <f>AVERAGEIF('A-4a 15min Unit Cost Calc'!$C$10:$C$123,A20,'A-4a 15min Unit Cost Calc'!$G$10:$G$123)</f>
        <v>8.720728457669825</v>
      </c>
      <c r="H20" s="75">
        <f t="shared" si="0"/>
        <v>0.56990651917718138</v>
      </c>
      <c r="I20" s="141">
        <f>'A-5 Border States'!D20</f>
        <v>7.0724999999999998</v>
      </c>
      <c r="J20" s="75">
        <f t="shared" si="1"/>
        <v>0.70272180982679389</v>
      </c>
      <c r="L20" s="152"/>
    </row>
    <row r="21" spans="1:12" x14ac:dyDescent="0.25">
      <c r="A21" s="54" t="s">
        <v>56</v>
      </c>
      <c r="B21" s="44" t="s">
        <v>220</v>
      </c>
      <c r="C21" s="45" t="s">
        <v>210</v>
      </c>
      <c r="D21" s="49">
        <v>45566</v>
      </c>
      <c r="E21" s="74">
        <v>0</v>
      </c>
      <c r="F21" s="36">
        <v>5.64</v>
      </c>
      <c r="G21" s="130">
        <f>AVERAGEIF('A-4a 15min Unit Cost Calc'!$C$10:$C$123,A21,'A-4a 15min Unit Cost Calc'!$G$10:$G$123)</f>
        <v>8.2752723284593017</v>
      </c>
      <c r="H21" s="74">
        <f t="shared" si="0"/>
        <v>0.68154856736298619</v>
      </c>
      <c r="I21" s="140">
        <f>'A-5 Border States'!D21</f>
        <v>7.3140000000000001</v>
      </c>
      <c r="J21" s="74">
        <f t="shared" si="1"/>
        <v>0.77112387202625099</v>
      </c>
      <c r="L21" s="152"/>
    </row>
    <row r="22" spans="1:12" x14ac:dyDescent="0.25">
      <c r="A22" s="57" t="s">
        <v>56</v>
      </c>
      <c r="B22" s="9" t="s">
        <v>220</v>
      </c>
      <c r="C22" s="47" t="s">
        <v>211</v>
      </c>
      <c r="D22" s="105">
        <v>43647</v>
      </c>
      <c r="E22" s="76">
        <v>0.21007604562737628</v>
      </c>
      <c r="F22" s="131">
        <v>5.32</v>
      </c>
      <c r="G22" s="130">
        <f>AVERAGEIF('A-4a 15min Unit Cost Calc'!$C$10:$C$123,A22,'A-4a 15min Unit Cost Calc'!$G$10:$G$123)</f>
        <v>8.2752723284593017</v>
      </c>
      <c r="H22" s="76">
        <f t="shared" si="0"/>
        <v>0.64287914510125654</v>
      </c>
      <c r="I22" s="140">
        <f>'A-5 Border States'!D22</f>
        <v>7.3140000000000001</v>
      </c>
      <c r="J22" s="76">
        <f t="shared" si="1"/>
        <v>0.7273721629751162</v>
      </c>
      <c r="L22" s="152"/>
    </row>
    <row r="23" spans="1:12" x14ac:dyDescent="0.25">
      <c r="A23" s="57" t="s">
        <v>56</v>
      </c>
      <c r="B23" s="9" t="s">
        <v>220</v>
      </c>
      <c r="C23" s="47" t="s">
        <v>209</v>
      </c>
      <c r="D23" s="105">
        <v>45108</v>
      </c>
      <c r="E23" s="76">
        <v>4.2588042588042441E-2</v>
      </c>
      <c r="F23" s="32">
        <v>7.01</v>
      </c>
      <c r="G23" s="130">
        <f>AVERAGEIF('A-4a 15min Unit Cost Calc'!$C$10:$C$123,A23,'A-4a 15min Unit Cost Calc'!$G$10:$G$123)</f>
        <v>8.2752723284593017</v>
      </c>
      <c r="H23" s="76">
        <f t="shared" si="0"/>
        <v>0.84710203142101648</v>
      </c>
      <c r="I23" s="140">
        <f>'A-5 Border States'!D23</f>
        <v>7.3140000000000001</v>
      </c>
      <c r="J23" s="76">
        <f t="shared" si="1"/>
        <v>0.95843587640142192</v>
      </c>
      <c r="L23" s="152"/>
    </row>
    <row r="24" spans="1:12" x14ac:dyDescent="0.25">
      <c r="A24" s="58" t="s">
        <v>57</v>
      </c>
      <c r="B24" s="59" t="s">
        <v>221</v>
      </c>
      <c r="C24" s="48" t="s">
        <v>210</v>
      </c>
      <c r="D24" s="106">
        <v>45566</v>
      </c>
      <c r="E24" s="77">
        <v>0</v>
      </c>
      <c r="F24" s="53">
        <v>7.34</v>
      </c>
      <c r="G24" s="52">
        <f>AVERAGEIF('A-4d Meal Unit Cost Calc'!$C$10:$C$35,A24,'A-4d Meal Unit Cost Calc'!$H$10:$H$35)</f>
        <v>5.0966909740259743</v>
      </c>
      <c r="H24" s="77">
        <f t="shared" si="0"/>
        <v>1.4401500968778558</v>
      </c>
      <c r="I24" s="141">
        <f>'A-5 Border States'!D24</f>
        <v>10.344285714285714</v>
      </c>
      <c r="J24" s="77">
        <f t="shared" si="1"/>
        <v>0.70957050131197352</v>
      </c>
      <c r="L24" s="152"/>
    </row>
    <row r="25" spans="1:12" x14ac:dyDescent="0.25">
      <c r="A25" s="55" t="s">
        <v>57</v>
      </c>
      <c r="B25" s="56" t="s">
        <v>221</v>
      </c>
      <c r="C25" s="46" t="s">
        <v>209</v>
      </c>
      <c r="D25" s="107">
        <v>45108</v>
      </c>
      <c r="E25" s="75">
        <v>4.2588042588042441E-2</v>
      </c>
      <c r="F25" s="52">
        <v>7.05</v>
      </c>
      <c r="G25" s="52">
        <f>AVERAGEIF('A-4d Meal Unit Cost Calc'!$C$10:$C$35,A25,'A-4d Meal Unit Cost Calc'!$H$10:$H$35)</f>
        <v>5.0966909740259743</v>
      </c>
      <c r="H25" s="75">
        <f t="shared" si="0"/>
        <v>1.3832504336497116</v>
      </c>
      <c r="I25" s="141">
        <f>'A-5 Border States'!D25</f>
        <v>10.344285714285714</v>
      </c>
      <c r="J25" s="75">
        <f t="shared" si="1"/>
        <v>0.68153569948902082</v>
      </c>
      <c r="L25" s="152"/>
    </row>
    <row r="26" spans="1:12" x14ac:dyDescent="0.25">
      <c r="A26" s="57" t="s">
        <v>58</v>
      </c>
      <c r="B26" s="9" t="s">
        <v>222</v>
      </c>
      <c r="C26" s="47" t="s">
        <v>212</v>
      </c>
      <c r="D26" s="105">
        <v>43647</v>
      </c>
      <c r="E26" s="76">
        <v>0.21007604562737628</v>
      </c>
      <c r="F26" s="131">
        <v>14.91</v>
      </c>
      <c r="G26" s="130">
        <f>AVERAGEIF('A-4a 15min Unit Cost Calc'!$C$10:$C$123,A26,'A-4a 15min Unit Cost Calc'!$G$10:$G$123)</f>
        <v>37.071833963311512</v>
      </c>
      <c r="H26" s="76">
        <f t="shared" si="0"/>
        <v>0.40219213364938516</v>
      </c>
      <c r="I26" s="140">
        <f>'A-5 Border States'!D26</f>
        <v>15.29</v>
      </c>
      <c r="J26" s="76">
        <f t="shared" si="1"/>
        <v>0.97514715500327021</v>
      </c>
      <c r="L26" s="152"/>
    </row>
    <row r="27" spans="1:12" ht="16.5" x14ac:dyDescent="0.25">
      <c r="A27" s="55" t="s">
        <v>59</v>
      </c>
      <c r="B27" s="56" t="s">
        <v>473</v>
      </c>
      <c r="C27" s="46" t="s">
        <v>210</v>
      </c>
      <c r="D27" s="107">
        <v>45566</v>
      </c>
      <c r="E27" s="75">
        <v>0</v>
      </c>
      <c r="F27" s="52">
        <v>14.91</v>
      </c>
      <c r="G27" s="52">
        <f>AVERAGEIF('A-4a 15min Unit Cost Calc'!$C$10:$C$123,A27,'A-4a 15min Unit Cost Calc'!$G$10:$G$123)</f>
        <v>16.896347526270073</v>
      </c>
      <c r="H27" s="75">
        <f t="shared" si="0"/>
        <v>0.88243923586551809</v>
      </c>
      <c r="I27" s="141">
        <f>'A-5 Border States'!D27</f>
        <v>5.3199999999999994</v>
      </c>
      <c r="J27" s="75">
        <f t="shared" si="1"/>
        <v>2.8026315789473686</v>
      </c>
      <c r="L27" s="152"/>
    </row>
    <row r="28" spans="1:12" x14ac:dyDescent="0.25">
      <c r="A28" s="55" t="s">
        <v>59</v>
      </c>
      <c r="B28" s="56" t="s">
        <v>223</v>
      </c>
      <c r="C28" s="46" t="s">
        <v>211</v>
      </c>
      <c r="D28" s="107">
        <v>43647</v>
      </c>
      <c r="E28" s="75">
        <v>0.21007604562737628</v>
      </c>
      <c r="F28" s="52">
        <v>14.91</v>
      </c>
      <c r="G28" s="52">
        <f>AVERAGEIF('A-4a 15min Unit Cost Calc'!$C$10:$C$123,A28,'A-4a 15min Unit Cost Calc'!$G$10:$G$123)</f>
        <v>16.896347526270073</v>
      </c>
      <c r="H28" s="75">
        <f t="shared" si="0"/>
        <v>0.88243923586551809</v>
      </c>
      <c r="I28" s="141">
        <f>'A-5 Border States'!D28</f>
        <v>5.3199999999999994</v>
      </c>
      <c r="J28" s="75">
        <f t="shared" si="1"/>
        <v>2.8026315789473686</v>
      </c>
      <c r="L28" s="152"/>
    </row>
    <row r="29" spans="1:12" x14ac:dyDescent="0.25">
      <c r="A29" s="55" t="s">
        <v>59</v>
      </c>
      <c r="B29" s="56" t="s">
        <v>223</v>
      </c>
      <c r="C29" s="46" t="s">
        <v>212</v>
      </c>
      <c r="D29" s="107">
        <v>43647</v>
      </c>
      <c r="E29" s="75">
        <v>0.21007604562737628</v>
      </c>
      <c r="F29" s="52">
        <v>14.91</v>
      </c>
      <c r="G29" s="52">
        <f>AVERAGEIF('A-4a 15min Unit Cost Calc'!$C$10:$C$123,A29,'A-4a 15min Unit Cost Calc'!$G$10:$G$123)</f>
        <v>16.896347526270073</v>
      </c>
      <c r="H29" s="75">
        <f t="shared" si="0"/>
        <v>0.88243923586551809</v>
      </c>
      <c r="I29" s="141">
        <f>'A-5 Border States'!D29</f>
        <v>5.3199999999999994</v>
      </c>
      <c r="J29" s="75">
        <f t="shared" si="1"/>
        <v>2.8026315789473686</v>
      </c>
      <c r="L29" s="152"/>
    </row>
    <row r="30" spans="1:12" x14ac:dyDescent="0.25">
      <c r="A30" s="57" t="s">
        <v>60</v>
      </c>
      <c r="B30" s="9" t="s">
        <v>73</v>
      </c>
      <c r="C30" s="47" t="s">
        <v>210</v>
      </c>
      <c r="D30" s="105">
        <v>45566</v>
      </c>
      <c r="E30" s="76">
        <v>0</v>
      </c>
      <c r="F30" s="32">
        <v>26.42</v>
      </c>
      <c r="G30" s="130">
        <f>AVERAGEIF('A-4a 15min Unit Cost Calc'!$C$10:$C$123,A30,'A-4a 15min Unit Cost Calc'!$G$10:$G$123)</f>
        <v>20.639759700806138</v>
      </c>
      <c r="H30" s="76">
        <f t="shared" si="0"/>
        <v>1.2800536625902723</v>
      </c>
      <c r="I30" s="140">
        <f>'A-5 Border States'!D30</f>
        <v>14.02</v>
      </c>
      <c r="J30" s="76">
        <f t="shared" si="1"/>
        <v>1.8844507845934382</v>
      </c>
      <c r="L30" s="152"/>
    </row>
    <row r="31" spans="1:12" x14ac:dyDescent="0.25">
      <c r="A31" s="57" t="s">
        <v>60</v>
      </c>
      <c r="B31" s="9" t="s">
        <v>73</v>
      </c>
      <c r="C31" s="47" t="s">
        <v>209</v>
      </c>
      <c r="D31" s="105">
        <v>45108</v>
      </c>
      <c r="E31" s="76">
        <v>4.2588042588042441E-2</v>
      </c>
      <c r="F31" s="32">
        <v>25.39</v>
      </c>
      <c r="G31" s="130">
        <f>AVERAGEIF('A-4a 15min Unit Cost Calc'!$C$10:$C$123,A31,'A-4a 15min Unit Cost Calc'!$G$10:$G$123)</f>
        <v>20.639759700806138</v>
      </c>
      <c r="H31" s="76">
        <f t="shared" si="0"/>
        <v>1.2301499808163139</v>
      </c>
      <c r="I31" s="140">
        <f>'A-5 Border States'!D31</f>
        <v>14.02</v>
      </c>
      <c r="J31" s="76">
        <f t="shared" si="1"/>
        <v>1.8109843081312411</v>
      </c>
      <c r="L31" s="152"/>
    </row>
    <row r="32" spans="1:12" x14ac:dyDescent="0.25">
      <c r="A32" s="55" t="s">
        <v>61</v>
      </c>
      <c r="B32" s="56" t="s">
        <v>224</v>
      </c>
      <c r="C32" s="46" t="s">
        <v>210</v>
      </c>
      <c r="D32" s="107">
        <v>45566</v>
      </c>
      <c r="E32" s="75">
        <v>0</v>
      </c>
      <c r="F32" s="52">
        <v>6.91</v>
      </c>
      <c r="G32" s="52">
        <f>AVERAGEIF('A-4a 15min Unit Cost Calc'!$C$10:$C$123,A32,'A-4a 15min Unit Cost Calc'!$G$10:$G$123)</f>
        <v>14.583030316908728</v>
      </c>
      <c r="H32" s="75">
        <f t="shared" si="0"/>
        <v>0.47383841697071666</v>
      </c>
      <c r="I32" s="141">
        <f>'A-5 Border States'!D32</f>
        <v>7.5659999999999998</v>
      </c>
      <c r="J32" s="75">
        <f t="shared" si="1"/>
        <v>0.91329632566745977</v>
      </c>
      <c r="L32" s="152"/>
    </row>
    <row r="33" spans="1:12" x14ac:dyDescent="0.25">
      <c r="A33" s="57" t="s">
        <v>62</v>
      </c>
      <c r="B33" s="9" t="s">
        <v>225</v>
      </c>
      <c r="C33" s="47" t="s">
        <v>210</v>
      </c>
      <c r="D33" s="105">
        <v>45566</v>
      </c>
      <c r="E33" s="76">
        <v>0</v>
      </c>
      <c r="F33" s="32">
        <v>49.43</v>
      </c>
      <c r="G33" s="130">
        <f>AVERAGEIF('A-4b Visit Unit Cost Calc'!$C$10:$C$42,A33,'A-4b Visit Unit Cost Calc'!$H$10:$H$42)</f>
        <v>60.558282025045187</v>
      </c>
      <c r="H33" s="76">
        <f t="shared" si="0"/>
        <v>0.81623847881875433</v>
      </c>
      <c r="I33" s="140">
        <f>'A-5 Border States'!D33</f>
        <v>60.03</v>
      </c>
      <c r="J33" s="76">
        <f t="shared" si="1"/>
        <v>0.82342162252207229</v>
      </c>
      <c r="L33" s="152"/>
    </row>
    <row r="34" spans="1:12" x14ac:dyDescent="0.25">
      <c r="A34" s="57" t="s">
        <v>62</v>
      </c>
      <c r="B34" s="9" t="s">
        <v>225</v>
      </c>
      <c r="C34" s="47" t="s">
        <v>209</v>
      </c>
      <c r="D34" s="105">
        <v>45108</v>
      </c>
      <c r="E34" s="76">
        <v>4.2588042588042441E-2</v>
      </c>
      <c r="F34" s="32">
        <v>49.43</v>
      </c>
      <c r="G34" s="130">
        <f>AVERAGEIF('A-4b Visit Unit Cost Calc'!$C$10:$C$42,A34,'A-4b Visit Unit Cost Calc'!$H$10:$H$42)</f>
        <v>60.558282025045187</v>
      </c>
      <c r="H34" s="76">
        <f t="shared" si="0"/>
        <v>0.81623847881875433</v>
      </c>
      <c r="I34" s="140">
        <f>'A-5 Border States'!D34</f>
        <v>60.03</v>
      </c>
      <c r="J34" s="76">
        <f t="shared" si="1"/>
        <v>0.82342162252207229</v>
      </c>
      <c r="L34" s="152"/>
    </row>
    <row r="35" spans="1:12" x14ac:dyDescent="0.25">
      <c r="A35" s="57" t="s">
        <v>62</v>
      </c>
      <c r="B35" s="9" t="s">
        <v>225</v>
      </c>
      <c r="C35" s="47" t="s">
        <v>212</v>
      </c>
      <c r="D35" s="105">
        <v>43647</v>
      </c>
      <c r="E35" s="76">
        <v>0.21007604562737628</v>
      </c>
      <c r="F35" s="131">
        <v>49.43</v>
      </c>
      <c r="G35" s="130">
        <f>AVERAGEIF('A-4b Visit Unit Cost Calc'!$C$10:$C$42,A35,'A-4b Visit Unit Cost Calc'!$H$10:$H$42)</f>
        <v>60.558282025045187</v>
      </c>
      <c r="H35" s="76">
        <f t="shared" si="0"/>
        <v>0.81623847881875433</v>
      </c>
      <c r="I35" s="140">
        <f>'A-5 Border States'!D35</f>
        <v>60.03</v>
      </c>
      <c r="J35" s="76">
        <f t="shared" si="1"/>
        <v>0.82342162252207229</v>
      </c>
      <c r="L35" s="152"/>
    </row>
    <row r="36" spans="1:12" ht="16.5" x14ac:dyDescent="0.25">
      <c r="A36" s="55" t="s">
        <v>63</v>
      </c>
      <c r="B36" s="56" t="s">
        <v>472</v>
      </c>
      <c r="C36" s="46" t="s">
        <v>212</v>
      </c>
      <c r="D36" s="107">
        <v>38534</v>
      </c>
      <c r="E36" s="75">
        <v>0.45319634703196338</v>
      </c>
      <c r="F36" s="52">
        <v>17.45</v>
      </c>
      <c r="G36" s="52">
        <f>AVERAGEIF('A-4a 15min Unit Cost Calc'!$C$10:$C$123,A36,'A-4a 15min Unit Cost Calc'!$G$10:$G$123)</f>
        <v>24.466771603472854</v>
      </c>
      <c r="H36" s="75">
        <f t="shared" si="0"/>
        <v>0.71321219990965701</v>
      </c>
      <c r="I36" s="141">
        <f>'A-5 Border States'!D36</f>
        <v>13.84</v>
      </c>
      <c r="J36" s="75">
        <f t="shared" si="1"/>
        <v>1.2608381502890174</v>
      </c>
      <c r="L36" s="152"/>
    </row>
    <row r="37" spans="1:12" x14ac:dyDescent="0.25">
      <c r="A37" s="57" t="s">
        <v>64</v>
      </c>
      <c r="B37" s="9" t="s">
        <v>226</v>
      </c>
      <c r="C37" s="47" t="s">
        <v>210</v>
      </c>
      <c r="D37" s="105">
        <v>45566</v>
      </c>
      <c r="E37" s="76">
        <v>0</v>
      </c>
      <c r="F37" s="32">
        <v>14.95</v>
      </c>
      <c r="G37" s="130">
        <f>AVERAGEIF('A-4c Trip Unit Cost Calc'!$C$10:$C$13,A37,'A-4c Trip Unit Cost Calc'!$H$10:$H$13)</f>
        <v>21.607898572555904</v>
      </c>
      <c r="H37" s="76">
        <f t="shared" si="0"/>
        <v>0.69187662788217308</v>
      </c>
      <c r="I37" s="140">
        <f>'A-5 Border States'!D37</f>
        <v>14.155000000000001</v>
      </c>
      <c r="J37" s="76">
        <f t="shared" si="1"/>
        <v>1.056163899682091</v>
      </c>
      <c r="L37" s="152"/>
    </row>
    <row r="38" spans="1:12" x14ac:dyDescent="0.25">
      <c r="A38" s="57" t="s">
        <v>64</v>
      </c>
      <c r="B38" s="9" t="s">
        <v>226</v>
      </c>
      <c r="C38" s="47" t="s">
        <v>209</v>
      </c>
      <c r="D38" s="105">
        <v>45108</v>
      </c>
      <c r="E38" s="76">
        <v>4.2588042588042441E-2</v>
      </c>
      <c r="F38" s="32">
        <v>14.94</v>
      </c>
      <c r="G38" s="130">
        <f>AVERAGEIF('A-4c Trip Unit Cost Calc'!$C$10:$C$13,A38,'A-4c Trip Unit Cost Calc'!$H$10:$H$13)</f>
        <v>21.607898572555904</v>
      </c>
      <c r="H38" s="76">
        <f t="shared" si="0"/>
        <v>0.69141383415114821</v>
      </c>
      <c r="I38" s="140">
        <f>'A-5 Border States'!D38</f>
        <v>14.155000000000001</v>
      </c>
      <c r="J38" s="76">
        <f t="shared" si="1"/>
        <v>1.0554574355351465</v>
      </c>
      <c r="L38" s="152"/>
    </row>
    <row r="39" spans="1:12" x14ac:dyDescent="0.25">
      <c r="A39" s="55" t="s">
        <v>65</v>
      </c>
      <c r="B39" s="56" t="s">
        <v>227</v>
      </c>
      <c r="C39" s="46" t="s">
        <v>209</v>
      </c>
      <c r="D39" s="107">
        <v>45108</v>
      </c>
      <c r="E39" s="75">
        <v>4.2588042588042441E-2</v>
      </c>
      <c r="F39" s="52">
        <v>90.92</v>
      </c>
      <c r="G39" s="52">
        <f>AVERAGEIF('A-4f Per Diem Unit Cost Calc'!$C$10:$C$82,A39,'A-4f Per Diem Unit Cost Calc'!$J$10:$J$82)</f>
        <v>92.613827226966322</v>
      </c>
      <c r="H39" s="75">
        <f t="shared" si="0"/>
        <v>0.98171086027127141</v>
      </c>
      <c r="I39" s="141">
        <f>'A-5 Border States'!D39</f>
        <v>207.37</v>
      </c>
      <c r="J39" s="75">
        <f t="shared" si="1"/>
        <v>0.43844336210637991</v>
      </c>
      <c r="L39" s="152"/>
    </row>
    <row r="40" spans="1:12" x14ac:dyDescent="0.25">
      <c r="A40" s="57" t="s">
        <v>66</v>
      </c>
      <c r="B40" s="9" t="s">
        <v>74</v>
      </c>
      <c r="C40" s="47" t="s">
        <v>209</v>
      </c>
      <c r="D40" s="105">
        <v>45108</v>
      </c>
      <c r="E40" s="76">
        <v>4.2588042588042441E-2</v>
      </c>
      <c r="F40" s="32">
        <v>22.65</v>
      </c>
      <c r="G40" s="130">
        <f>AVERAGEIF('A-4a 15min Unit Cost Calc'!$C$10:$C$123,A40,'A-4a 15min Unit Cost Calc'!$G$10:$G$123)</f>
        <v>28.73715519845334</v>
      </c>
      <c r="H40" s="76">
        <f t="shared" si="0"/>
        <v>0.78817822583980202</v>
      </c>
      <c r="I40" s="140">
        <f>'A-5 Border States'!D40</f>
        <v>27.759999999999998</v>
      </c>
      <c r="J40" s="76">
        <f t="shared" si="1"/>
        <v>0.81592219020172907</v>
      </c>
      <c r="L40" s="152"/>
    </row>
    <row r="41" spans="1:12" x14ac:dyDescent="0.25">
      <c r="A41" s="58" t="s">
        <v>67</v>
      </c>
      <c r="B41" s="59" t="s">
        <v>228</v>
      </c>
      <c r="C41" s="48" t="s">
        <v>209</v>
      </c>
      <c r="D41" s="106">
        <v>45108</v>
      </c>
      <c r="E41" s="77">
        <v>4.2588042588042441E-2</v>
      </c>
      <c r="F41" s="53">
        <v>79</v>
      </c>
      <c r="G41" s="52">
        <f>AVERAGEIF('A-4f Per Diem Unit Cost Calc'!$C$10:$C$82,A41,'A-4f Per Diem Unit Cost Calc'!$J$10:$J$82)</f>
        <v>82.86912380948354</v>
      </c>
      <c r="H41" s="77">
        <f t="shared" si="0"/>
        <v>0.95331042936596422</v>
      </c>
      <c r="I41" s="141">
        <f>'A-5 Border States'!D41</f>
        <v>119.98400000000001</v>
      </c>
      <c r="J41" s="77">
        <f t="shared" si="1"/>
        <v>0.65842112281637544</v>
      </c>
      <c r="L41" s="152"/>
    </row>
    <row r="42" spans="1:12" x14ac:dyDescent="0.25">
      <c r="A42" s="57" t="s">
        <v>68</v>
      </c>
      <c r="B42" s="9" t="s">
        <v>229</v>
      </c>
      <c r="C42" s="47" t="s">
        <v>209</v>
      </c>
      <c r="D42" s="105">
        <v>45108</v>
      </c>
      <c r="E42" s="76">
        <v>4.2588042588042441E-2</v>
      </c>
      <c r="F42" s="32">
        <v>132.16</v>
      </c>
      <c r="G42" s="130">
        <f>AVERAGEIF('A-4f Per Diem Unit Cost Calc'!$C$10:$C$82,A42,'A-4f Per Diem Unit Cost Calc'!$J$10:$J$82)</f>
        <v>77.76270859994564</v>
      </c>
      <c r="H42" s="76">
        <f t="shared" si="0"/>
        <v>1.6995292779718374</v>
      </c>
      <c r="I42" s="140">
        <f>'A-5 Border States'!D42</f>
        <v>217.30333333333331</v>
      </c>
      <c r="J42" s="76">
        <f t="shared" si="1"/>
        <v>0.6081821110275959</v>
      </c>
      <c r="L42" s="152"/>
    </row>
    <row r="43" spans="1:12" x14ac:dyDescent="0.25">
      <c r="A43" s="55" t="s">
        <v>69</v>
      </c>
      <c r="B43" s="56" t="s">
        <v>75</v>
      </c>
      <c r="C43" s="46" t="s">
        <v>210</v>
      </c>
      <c r="D43" s="107">
        <v>45566</v>
      </c>
      <c r="E43" s="75">
        <v>0</v>
      </c>
      <c r="F43" s="52">
        <v>95.25</v>
      </c>
      <c r="G43" s="52">
        <f>'A-4e Per Month Cost Calc'!F10</f>
        <v>228.75</v>
      </c>
      <c r="H43" s="75">
        <f t="shared" si="0"/>
        <v>0.4163934426229508</v>
      </c>
      <c r="I43" s="141">
        <f>'A-5 Border States'!D43</f>
        <v>149.91999999999999</v>
      </c>
      <c r="J43" s="75">
        <f t="shared" si="1"/>
        <v>0.63533884738527224</v>
      </c>
      <c r="L43" s="152"/>
    </row>
    <row r="44" spans="1:12" x14ac:dyDescent="0.25">
      <c r="A44" s="55" t="s">
        <v>69</v>
      </c>
      <c r="B44" s="56" t="s">
        <v>75</v>
      </c>
      <c r="C44" s="46" t="s">
        <v>211</v>
      </c>
      <c r="D44" s="107">
        <v>42186</v>
      </c>
      <c r="E44" s="75">
        <v>0.3205394190871369</v>
      </c>
      <c r="F44" s="52">
        <v>51.67</v>
      </c>
      <c r="G44" s="52">
        <f>'A-4e Per Month Cost Calc'!F10</f>
        <v>228.75</v>
      </c>
      <c r="H44" s="75">
        <f t="shared" si="0"/>
        <v>0.22587978142076504</v>
      </c>
      <c r="I44" s="141">
        <f>'A-5 Border States'!D44</f>
        <v>149.91999999999999</v>
      </c>
      <c r="J44" s="75">
        <f t="shared" si="1"/>
        <v>0.34465048025613665</v>
      </c>
      <c r="L44" s="152"/>
    </row>
    <row r="45" spans="1:12" x14ac:dyDescent="0.25">
      <c r="A45" s="55" t="s">
        <v>69</v>
      </c>
      <c r="B45" s="56" t="s">
        <v>75</v>
      </c>
      <c r="C45" s="46" t="s">
        <v>209</v>
      </c>
      <c r="D45" s="107">
        <v>45108</v>
      </c>
      <c r="E45" s="75">
        <v>4.2588042588042441E-2</v>
      </c>
      <c r="F45" s="52">
        <v>48</v>
      </c>
      <c r="G45" s="52">
        <f>'A-4e Per Month Cost Calc'!F10</f>
        <v>228.75</v>
      </c>
      <c r="H45" s="75">
        <f t="shared" si="0"/>
        <v>0.20983606557377049</v>
      </c>
      <c r="I45" s="141">
        <f>'A-5 Border States'!D45</f>
        <v>149.91999999999999</v>
      </c>
      <c r="J45" s="75">
        <f t="shared" si="1"/>
        <v>0.32017075773746001</v>
      </c>
      <c r="L45" s="152"/>
    </row>
    <row r="46" spans="1:12" x14ac:dyDescent="0.25">
      <c r="A46" s="55" t="s">
        <v>69</v>
      </c>
      <c r="B46" s="56" t="s">
        <v>75</v>
      </c>
      <c r="C46" s="46" t="s">
        <v>212</v>
      </c>
      <c r="D46" s="107">
        <v>40238</v>
      </c>
      <c r="E46" s="75">
        <v>0.45319634703196338</v>
      </c>
      <c r="F46" s="52">
        <v>48</v>
      </c>
      <c r="G46" s="52">
        <f>'A-4e Per Month Cost Calc'!F10</f>
        <v>228.75</v>
      </c>
      <c r="H46" s="75">
        <f t="shared" si="0"/>
        <v>0.20983606557377049</v>
      </c>
      <c r="I46" s="141">
        <f>'A-5 Border States'!D46</f>
        <v>149.91999999999999</v>
      </c>
      <c r="J46" s="75">
        <f t="shared" si="1"/>
        <v>0.32017075773746001</v>
      </c>
      <c r="L46" s="152"/>
    </row>
    <row r="49" spans="1:2" ht="16.5" x14ac:dyDescent="0.25">
      <c r="A49" t="s">
        <v>474</v>
      </c>
    </row>
    <row r="51" spans="1:2" ht="16.5" x14ac:dyDescent="0.25">
      <c r="A51" s="143" t="s">
        <v>475</v>
      </c>
    </row>
    <row r="52" spans="1:2" x14ac:dyDescent="0.25">
      <c r="A52" s="143" t="s">
        <v>476</v>
      </c>
      <c r="B52" s="143"/>
    </row>
  </sheetData>
  <autoFilter ref="B7:J7" xr:uid="{00000000-0009-0000-0000-000001000000}"/>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6"/>
  <sheetViews>
    <sheetView workbookViewId="0">
      <selection activeCell="B6" sqref="B6"/>
    </sheetView>
  </sheetViews>
  <sheetFormatPr defaultRowHeight="15" x14ac:dyDescent="0.25"/>
  <cols>
    <col min="1" max="1" width="16.7109375" customWidth="1"/>
    <col min="2" max="2" width="39.7109375" customWidth="1"/>
    <col min="3" max="3" width="14" bestFit="1" customWidth="1"/>
    <col min="4" max="4" width="11.140625" bestFit="1" customWidth="1"/>
    <col min="5" max="5" width="14.7109375" customWidth="1"/>
    <col min="6" max="6" width="15.28515625" customWidth="1"/>
    <col min="7" max="7" width="12.5703125" bestFit="1" customWidth="1"/>
    <col min="8" max="8" width="14.7109375" customWidth="1"/>
    <col min="9" max="10" width="11.5703125" bestFit="1" customWidth="1"/>
    <col min="11" max="11" width="16.42578125" customWidth="1"/>
    <col min="12" max="12" width="19" bestFit="1" customWidth="1"/>
    <col min="13" max="13" width="14.7109375" customWidth="1"/>
    <col min="14" max="14" width="13.7109375" bestFit="1" customWidth="1"/>
    <col min="15" max="15" width="14.28515625" bestFit="1" customWidth="1"/>
    <col min="16" max="16" width="14.7109375" customWidth="1"/>
    <col min="17" max="17" width="16.5703125" customWidth="1"/>
    <col min="18" max="18" width="20.140625" customWidth="1"/>
    <col min="19" max="19" width="27" customWidth="1"/>
  </cols>
  <sheetData>
    <row r="1" spans="1:18" x14ac:dyDescent="0.25">
      <c r="A1" s="24" t="str">
        <f>Cover!A1</f>
        <v>Utah Department of Health &amp; Human Services, Office of Reimbursement, Coordinated Care &amp; Audit</v>
      </c>
      <c r="B1" s="24"/>
    </row>
    <row r="2" spans="1:18" x14ac:dyDescent="0.25">
      <c r="A2" s="24" t="str">
        <f>Cover!A2</f>
        <v>Medicaid Rate Study</v>
      </c>
      <c r="B2" s="24"/>
    </row>
    <row r="3" spans="1:18" x14ac:dyDescent="0.25">
      <c r="A3" s="24" t="str">
        <f>Cover!A3&amp;"-2"</f>
        <v>2025 Home and Community Based Services (HCBS) - Exhibit A-2</v>
      </c>
      <c r="B3" s="24"/>
    </row>
    <row r="4" spans="1:18" x14ac:dyDescent="0.25">
      <c r="A4" t="s">
        <v>43</v>
      </c>
    </row>
    <row r="6" spans="1:18" ht="75.75" thickBot="1" x14ac:dyDescent="0.3">
      <c r="A6" s="6" t="s">
        <v>364</v>
      </c>
      <c r="B6" s="6" t="s">
        <v>30</v>
      </c>
      <c r="C6" s="6" t="s">
        <v>31</v>
      </c>
      <c r="D6" s="6" t="s">
        <v>32</v>
      </c>
      <c r="E6" s="35" t="s">
        <v>33</v>
      </c>
      <c r="F6" s="6" t="s">
        <v>37</v>
      </c>
      <c r="G6" s="6" t="s">
        <v>36</v>
      </c>
      <c r="H6" s="35" t="s">
        <v>44</v>
      </c>
      <c r="I6" s="6" t="s">
        <v>40</v>
      </c>
      <c r="J6" s="6" t="s">
        <v>39</v>
      </c>
      <c r="K6" s="6" t="s">
        <v>230</v>
      </c>
      <c r="L6" s="6" t="s">
        <v>41</v>
      </c>
      <c r="M6" s="35" t="s">
        <v>45</v>
      </c>
      <c r="N6" s="6" t="s">
        <v>34</v>
      </c>
      <c r="O6" s="6" t="s">
        <v>35</v>
      </c>
      <c r="P6" s="35" t="s">
        <v>46</v>
      </c>
      <c r="Q6" s="35" t="s">
        <v>368</v>
      </c>
      <c r="R6" s="112" t="s">
        <v>362</v>
      </c>
    </row>
    <row r="7" spans="1:18" x14ac:dyDescent="0.25">
      <c r="A7" s="43" t="s">
        <v>365</v>
      </c>
      <c r="B7" s="43" t="s">
        <v>76</v>
      </c>
      <c r="C7" s="60">
        <f>IF(VLOOKUP(B7,'[1]UT Rate Study HCBS Survey'!$B$6:$FG$139,129,0)=0,"",VLOOKUP(B7,'[1]UT Rate Study HCBS Survey'!$B$6:$FG$139,129,0))</f>
        <v>1249149</v>
      </c>
      <c r="D7" s="61">
        <f>IF(VLOOKUP(B7,'[1]UT Rate Study HCBS Survey'!$B$6:$FG$139,130,0)=0,"",VLOOKUP(B7,'[1]UT Rate Study HCBS Survey'!$B$6:$FG$139,130,0))</f>
        <v>70750</v>
      </c>
      <c r="E7" s="36">
        <f>IF(IFERROR(C7/D7,0)=0,"",IFERROR(C7/D7,0))</f>
        <v>17.655816254416962</v>
      </c>
      <c r="F7" s="60">
        <f>IF(VLOOKUP(B7,'[1]UT Rate Study HCBS Survey'!$B$6:$FG$139,140,0)=0,"",VLOOKUP(B7,'[1]UT Rate Study HCBS Survey'!$B$6:$FG$139,140,0))</f>
        <v>304574</v>
      </c>
      <c r="G7" s="60">
        <f>IF(VLOOKUP(B7,'[1]UT Rate Study HCBS Survey'!$B$6:$FG$139,139,0)=0,"",VLOOKUP(B7,'[1]UT Rate Study HCBS Survey'!$B$6:$FG$139,139,0))</f>
        <v>1791989</v>
      </c>
      <c r="H7" s="37">
        <f>IF(IFERROR(F7/G7,0)=0,"",IFERROR(F7/G7,0))</f>
        <v>0.16996421294996789</v>
      </c>
      <c r="I7" s="60" t="str">
        <f>IF(VLOOKUP(B7,'[1]UT Rate Study HCBS Survey'!$B$6:$FG$139,133,0)=0,"",VLOOKUP(B7,'[1]UT Rate Study HCBS Survey'!$B$6:$FG$139,133,0))</f>
        <v/>
      </c>
      <c r="J7" s="60">
        <f>IF(VLOOKUP(B7,'[1]UT Rate Study HCBS Survey'!$B$6:$FG$139,131,0)=0,"",VLOOKUP(B7,'[1]UT Rate Study HCBS Survey'!$B$6:$FG$139,131,0))</f>
        <v>184840</v>
      </c>
      <c r="K7" s="60">
        <f>IF(VLOOKUP(B7,'[1]UT Rate Study HCBS Survey'!$B$6:$FG$139,134,0)=0,"",VLOOKUP(B7,'[1]UT Rate Study HCBS Survey'!$B$6:$FG$139,134,0))</f>
        <v>48535</v>
      </c>
      <c r="L7" s="60">
        <f>IF(VLOOKUP(B7,'[1]UT Rate Study HCBS Survey'!$B$6:$FG$139,135,0)=0,"",VLOOKUP(B7,'[1]UT Rate Study HCBS Survey'!$B$6:$FG$139,135,0))</f>
        <v>665240</v>
      </c>
      <c r="M7" s="37">
        <f>IF(IFERROR(SUM(J7:L7)/SUM(C7,I7),0)=0,"",IFERROR(SUM(J7:L7)/SUM(C7,I7),0))</f>
        <v>0.71938175509887126</v>
      </c>
      <c r="N7" s="60">
        <f>IF(VLOOKUP(B7,'[1]UT Rate Study HCBS Survey'!$B$6:$FG$139,138,0)=0,"",VLOOKUP(B7,'[1]UT Rate Study HCBS Survey'!$B$6:$FG$139,138,0))</f>
        <v>2971899</v>
      </c>
      <c r="O7" s="60">
        <f>IF(VLOOKUP(B7,'[1]UT Rate Study HCBS Survey'!$B$6:$FG$139,141,0)=0,"",VLOOKUP(B7,'[1]UT Rate Study HCBS Survey'!$B$6:$FG$139,141,0))</f>
        <v>502203</v>
      </c>
      <c r="P7" s="37">
        <f>IF(IFERROR(O7/N7,0)=0,"",IFERROR(O7/N7,0))</f>
        <v>0.16898387192835287</v>
      </c>
      <c r="Q7" s="36">
        <f>IFERROR((E7+(E7*H7)+(E7*M7))/(1-P7),"")</f>
        <v>40.14115265163403</v>
      </c>
      <c r="R7" s="9"/>
    </row>
    <row r="8" spans="1:18" x14ac:dyDescent="0.25">
      <c r="A8" s="43" t="s">
        <v>365</v>
      </c>
      <c r="B8" s="43" t="s">
        <v>77</v>
      </c>
      <c r="C8" s="60">
        <f>IF(VLOOKUP(B8,'[1]UT Rate Study HCBS Survey'!$B$6:$FG$139,129,0)=0,"",VLOOKUP(B8,'[1]UT Rate Study HCBS Survey'!$B$6:$FG$139,129,0))</f>
        <v>33377</v>
      </c>
      <c r="D8" s="61">
        <f>IF(VLOOKUP(B8,'[1]UT Rate Study HCBS Survey'!$B$6:$FG$139,130,0)=0,"",VLOOKUP(B8,'[1]UT Rate Study HCBS Survey'!$B$6:$FG$139,130,0))</f>
        <v>1947</v>
      </c>
      <c r="E8" s="36">
        <f t="shared" ref="E8:E59" si="0">IF(IFERROR(C8/D8,0)=0,"",IFERROR(C8/D8,0))</f>
        <v>17.142783769902415</v>
      </c>
      <c r="F8" s="60">
        <f>IF(VLOOKUP(B8,'[1]UT Rate Study HCBS Survey'!$B$6:$FG$139,140,0)=0,"",VLOOKUP(B8,'[1]UT Rate Study HCBS Survey'!$B$6:$FG$139,140,0))</f>
        <v>590380.93000000005</v>
      </c>
      <c r="G8" s="60">
        <f>IF(VLOOKUP(B8,'[1]UT Rate Study HCBS Survey'!$B$6:$FG$139,139,0)=0,"",VLOOKUP(B8,'[1]UT Rate Study HCBS Survey'!$B$6:$FG$139,139,0))</f>
        <v>2622631.85</v>
      </c>
      <c r="H8" s="37">
        <f t="shared" ref="H8:H59" si="1">IF(IFERROR(F8/G8,0)=0,"",IFERROR(F8/G8,0))</f>
        <v>0.2251101045691945</v>
      </c>
      <c r="I8" s="60" t="str">
        <f>IF(VLOOKUP(B8,'[1]UT Rate Study HCBS Survey'!$B$6:$FG$139,133,0)=0,"",VLOOKUP(B8,'[1]UT Rate Study HCBS Survey'!$B$6:$FG$139,133,0))</f>
        <v/>
      </c>
      <c r="J8" s="60">
        <f>IF(VLOOKUP(B8,'[1]UT Rate Study HCBS Survey'!$B$6:$FG$139,131,0)=0,"",VLOOKUP(B8,'[1]UT Rate Study HCBS Survey'!$B$6:$FG$139,131,0))</f>
        <v>63500</v>
      </c>
      <c r="K8" s="60" t="str">
        <f>IF(VLOOKUP(B8,'[1]UT Rate Study HCBS Survey'!$B$6:$FG$139,134,0)=0,"",VLOOKUP(B8,'[1]UT Rate Study HCBS Survey'!$B$6:$FG$139,134,0))</f>
        <v/>
      </c>
      <c r="L8" s="60" t="str">
        <f>IF(VLOOKUP(B8,'[1]UT Rate Study HCBS Survey'!$B$6:$FG$139,135,0)=0,"",VLOOKUP(B8,'[1]UT Rate Study HCBS Survey'!$B$6:$FG$139,135,0))</f>
        <v/>
      </c>
      <c r="M8" s="37">
        <f t="shared" ref="M8:M59" si="2">IF(IFERROR(SUM(J8:L8)/SUM(C8,I8),0)=0,"",IFERROR(SUM(J8:L8)/SUM(C8,I8),0))</f>
        <v>1.9025077148934895</v>
      </c>
      <c r="N8" s="60">
        <f>IF(VLOOKUP(B8,'[1]UT Rate Study HCBS Survey'!$B$6:$FG$139,138,0)=0,"",VLOOKUP(B8,'[1]UT Rate Study HCBS Survey'!$B$6:$FG$139,138,0))</f>
        <v>6370243.4900000002</v>
      </c>
      <c r="O8" s="60">
        <f>IF(VLOOKUP(B8,'[1]UT Rate Study HCBS Survey'!$B$6:$FG$139,141,0)=0,"",VLOOKUP(B8,'[1]UT Rate Study HCBS Survey'!$B$6:$FG$139,141,0))</f>
        <v>6370243.4900000002</v>
      </c>
      <c r="P8" s="37">
        <f t="shared" ref="P8:P59" si="3">IF(IFERROR(O8/N8,0)=0,"",IFERROR(O8/N8,0))</f>
        <v>1</v>
      </c>
      <c r="Q8" s="36" t="str">
        <f t="shared" ref="Q8:Q70" si="4">IFERROR((E8+(E8*H8)+(E8*M8))/(1-P8),"")</f>
        <v/>
      </c>
      <c r="R8" s="9" t="s">
        <v>361</v>
      </c>
    </row>
    <row r="9" spans="1:18" x14ac:dyDescent="0.25">
      <c r="A9" s="43" t="s">
        <v>365</v>
      </c>
      <c r="B9" s="43" t="s">
        <v>78</v>
      </c>
      <c r="C9" s="60">
        <f>IF(VLOOKUP(B9,'[1]UT Rate Study HCBS Survey'!$B$6:$FG$139,129,0)=0,"",VLOOKUP(B9,'[1]UT Rate Study HCBS Survey'!$B$6:$FG$139,129,0))</f>
        <v>49918</v>
      </c>
      <c r="D9" s="61">
        <f>IF(VLOOKUP(B9,'[1]UT Rate Study HCBS Survey'!$B$6:$FG$139,130,0)=0,"",VLOOKUP(B9,'[1]UT Rate Study HCBS Survey'!$B$6:$FG$139,130,0))</f>
        <v>2603</v>
      </c>
      <c r="E9" s="36">
        <f t="shared" si="0"/>
        <v>19.17710334229735</v>
      </c>
      <c r="F9" s="60">
        <f>IF(VLOOKUP(B9,'[1]UT Rate Study HCBS Survey'!$B$6:$FG$139,140,0)=0,"",VLOOKUP(B9,'[1]UT Rate Study HCBS Survey'!$B$6:$FG$139,140,0))</f>
        <v>60523</v>
      </c>
      <c r="G9" s="60">
        <f>IF(VLOOKUP(B9,'[1]UT Rate Study HCBS Survey'!$B$6:$FG$139,139,0)=0,"",VLOOKUP(B9,'[1]UT Rate Study HCBS Survey'!$B$6:$FG$139,139,0))</f>
        <v>413536</v>
      </c>
      <c r="H9" s="37">
        <f t="shared" si="1"/>
        <v>0.14635485181459412</v>
      </c>
      <c r="I9" s="60">
        <f>IF(VLOOKUP(B9,'[1]UT Rate Study HCBS Survey'!$B$6:$FG$139,133,0)=0,"",VLOOKUP(B9,'[1]UT Rate Study HCBS Survey'!$B$6:$FG$139,133,0))</f>
        <v>538</v>
      </c>
      <c r="J9" s="60">
        <f>IF(VLOOKUP(B9,'[1]UT Rate Study HCBS Survey'!$B$6:$FG$139,131,0)=0,"",VLOOKUP(B9,'[1]UT Rate Study HCBS Survey'!$B$6:$FG$139,131,0))</f>
        <v>7700</v>
      </c>
      <c r="K9" s="60">
        <f>IF(VLOOKUP(B9,'[1]UT Rate Study HCBS Survey'!$B$6:$FG$139,134,0)=0,"",VLOOKUP(B9,'[1]UT Rate Study HCBS Survey'!$B$6:$FG$139,134,0))</f>
        <v>1617</v>
      </c>
      <c r="L9" s="60">
        <f>IF(VLOOKUP(B9,'[1]UT Rate Study HCBS Survey'!$B$6:$FG$139,135,0)=0,"",VLOOKUP(B9,'[1]UT Rate Study HCBS Survey'!$B$6:$FG$139,135,0))</f>
        <v>5107</v>
      </c>
      <c r="M9" s="37">
        <f t="shared" si="2"/>
        <v>0.28587283970191851</v>
      </c>
      <c r="N9" s="60">
        <f>IF(VLOOKUP(B9,'[1]UT Rate Study HCBS Survey'!$B$6:$FG$139,138,0)=0,"",VLOOKUP(B9,'[1]UT Rate Study HCBS Survey'!$B$6:$FG$139,138,0))</f>
        <v>701357</v>
      </c>
      <c r="O9" s="60">
        <f>IF(VLOOKUP(B9,'[1]UT Rate Study HCBS Survey'!$B$6:$FG$139,141,0)=0,"",VLOOKUP(B9,'[1]UT Rate Study HCBS Survey'!$B$6:$FG$139,141,0))</f>
        <v>51968</v>
      </c>
      <c r="P9" s="37">
        <f t="shared" si="3"/>
        <v>7.4096358915644964E-2</v>
      </c>
      <c r="Q9" s="36">
        <f t="shared" si="4"/>
        <v>29.663970667342721</v>
      </c>
      <c r="R9" s="9"/>
    </row>
    <row r="10" spans="1:18" x14ac:dyDescent="0.25">
      <c r="A10" s="43" t="s">
        <v>365</v>
      </c>
      <c r="B10" s="43" t="s">
        <v>80</v>
      </c>
      <c r="C10" s="60">
        <f>IF(VLOOKUP(B10,'[1]UT Rate Study HCBS Survey'!$B$6:$FG$139,129,0)=0,"",VLOOKUP(B10,'[1]UT Rate Study HCBS Survey'!$B$6:$FG$139,129,0))</f>
        <v>870000</v>
      </c>
      <c r="D10" s="61">
        <f>IF(VLOOKUP(B10,'[1]UT Rate Study HCBS Survey'!$B$6:$FG$139,130,0)=0,"",VLOOKUP(B10,'[1]UT Rate Study HCBS Survey'!$B$6:$FG$139,130,0))</f>
        <v>30000</v>
      </c>
      <c r="E10" s="36">
        <f t="shared" si="0"/>
        <v>29</v>
      </c>
      <c r="F10" s="60">
        <f>IF(VLOOKUP(B10,'[1]UT Rate Study HCBS Survey'!$B$6:$FG$139,140,0)=0,"",VLOOKUP(B10,'[1]UT Rate Study HCBS Survey'!$B$6:$FG$139,140,0))</f>
        <v>228000</v>
      </c>
      <c r="G10" s="60">
        <f>IF(VLOOKUP(B10,'[1]UT Rate Study HCBS Survey'!$B$6:$FG$139,139,0)=0,"",VLOOKUP(B10,'[1]UT Rate Study HCBS Survey'!$B$6:$FG$139,139,0))</f>
        <v>1141000</v>
      </c>
      <c r="H10" s="37">
        <f t="shared" si="1"/>
        <v>0.19982471516213848</v>
      </c>
      <c r="I10" s="60" t="str">
        <f>IF(VLOOKUP(B10,'[1]UT Rate Study HCBS Survey'!$B$6:$FG$139,133,0)=0,"",VLOOKUP(B10,'[1]UT Rate Study HCBS Survey'!$B$6:$FG$139,133,0))</f>
        <v/>
      </c>
      <c r="J10" s="60">
        <f>IF(VLOOKUP(B10,'[1]UT Rate Study HCBS Survey'!$B$6:$FG$139,131,0)=0,"",VLOOKUP(B10,'[1]UT Rate Study HCBS Survey'!$B$6:$FG$139,131,0))</f>
        <v>100000</v>
      </c>
      <c r="K10" s="60">
        <f>IF(VLOOKUP(B10,'[1]UT Rate Study HCBS Survey'!$B$6:$FG$139,134,0)=0,"",VLOOKUP(B10,'[1]UT Rate Study HCBS Survey'!$B$6:$FG$139,134,0))</f>
        <v>50000</v>
      </c>
      <c r="L10" s="60">
        <f>IF(VLOOKUP(B10,'[1]UT Rate Study HCBS Survey'!$B$6:$FG$139,135,0)=0,"",VLOOKUP(B10,'[1]UT Rate Study HCBS Survey'!$B$6:$FG$139,135,0))</f>
        <v>400000</v>
      </c>
      <c r="M10" s="37">
        <f t="shared" si="2"/>
        <v>0.63218390804597702</v>
      </c>
      <c r="N10" s="60">
        <f>IF(VLOOKUP(B10,'[1]UT Rate Study HCBS Survey'!$B$6:$FG$139,138,0)=0,"",VLOOKUP(B10,'[1]UT Rate Study HCBS Survey'!$B$6:$FG$139,138,0))</f>
        <v>1454800</v>
      </c>
      <c r="O10" s="60">
        <f>IF(VLOOKUP(B10,'[1]UT Rate Study HCBS Survey'!$B$6:$FG$139,141,0)=0,"",VLOOKUP(B10,'[1]UT Rate Study HCBS Survey'!$B$6:$FG$139,141,0))</f>
        <v>85800</v>
      </c>
      <c r="P10" s="37">
        <f t="shared" si="3"/>
        <v>5.8977178993676105E-2</v>
      </c>
      <c r="Q10" s="36">
        <f t="shared" si="4"/>
        <v>56.457982619614192</v>
      </c>
      <c r="R10" s="9"/>
    </row>
    <row r="11" spans="1:18" x14ac:dyDescent="0.25">
      <c r="A11" s="43" t="s">
        <v>365</v>
      </c>
      <c r="B11" s="43" t="s">
        <v>81</v>
      </c>
      <c r="C11" s="60">
        <f>IF(VLOOKUP(B11,'[1]UT Rate Study HCBS Survey'!$B$6:$FG$139,129,0)=0,"",VLOOKUP(B11,'[1]UT Rate Study HCBS Survey'!$B$6:$FG$139,129,0))</f>
        <v>370000</v>
      </c>
      <c r="D11" s="61">
        <f>IF(VLOOKUP(B11,'[1]UT Rate Study HCBS Survey'!$B$6:$FG$139,130,0)=0,"",VLOOKUP(B11,'[1]UT Rate Study HCBS Survey'!$B$6:$FG$139,130,0))</f>
        <v>20555</v>
      </c>
      <c r="E11" s="36">
        <f t="shared" si="0"/>
        <v>18.000486499635127</v>
      </c>
      <c r="F11" s="60">
        <f>IF(VLOOKUP(B11,'[1]UT Rate Study HCBS Survey'!$B$6:$FG$139,140,0)=0,"",VLOOKUP(B11,'[1]UT Rate Study HCBS Survey'!$B$6:$FG$139,140,0))</f>
        <v>140000</v>
      </c>
      <c r="G11" s="60">
        <f>IF(VLOOKUP(B11,'[1]UT Rate Study HCBS Survey'!$B$6:$FG$139,139,0)=0,"",VLOOKUP(B11,'[1]UT Rate Study HCBS Survey'!$B$6:$FG$139,139,0))</f>
        <v>461500</v>
      </c>
      <c r="H11" s="37">
        <f t="shared" si="1"/>
        <v>0.30335861321776814</v>
      </c>
      <c r="I11" s="60" t="str">
        <f>IF(VLOOKUP(B11,'[1]UT Rate Study HCBS Survey'!$B$6:$FG$139,133,0)=0,"",VLOOKUP(B11,'[1]UT Rate Study HCBS Survey'!$B$6:$FG$139,133,0))</f>
        <v/>
      </c>
      <c r="J11" s="60">
        <f>IF(VLOOKUP(B11,'[1]UT Rate Study HCBS Survey'!$B$6:$FG$139,131,0)=0,"",VLOOKUP(B11,'[1]UT Rate Study HCBS Survey'!$B$6:$FG$139,131,0))</f>
        <v>130000</v>
      </c>
      <c r="K11" s="60" t="str">
        <f>IF(VLOOKUP(B11,'[1]UT Rate Study HCBS Survey'!$B$6:$FG$139,134,0)=0,"",VLOOKUP(B11,'[1]UT Rate Study HCBS Survey'!$B$6:$FG$139,134,0))</f>
        <v/>
      </c>
      <c r="L11" s="60" t="str">
        <f>IF(VLOOKUP(B11,'[1]UT Rate Study HCBS Survey'!$B$6:$FG$139,135,0)=0,"",VLOOKUP(B11,'[1]UT Rate Study HCBS Survey'!$B$6:$FG$139,135,0))</f>
        <v/>
      </c>
      <c r="M11" s="37">
        <f t="shared" si="2"/>
        <v>0.35135135135135137</v>
      </c>
      <c r="N11" s="60">
        <f>IF(VLOOKUP(B11,'[1]UT Rate Study HCBS Survey'!$B$6:$FG$139,138,0)=0,"",VLOOKUP(B11,'[1]UT Rate Study HCBS Survey'!$B$6:$FG$139,138,0))</f>
        <v>843000</v>
      </c>
      <c r="O11" s="60">
        <f>IF(VLOOKUP(B11,'[1]UT Rate Study HCBS Survey'!$B$6:$FG$139,141,0)=0,"",VLOOKUP(B11,'[1]UT Rate Study HCBS Survey'!$B$6:$FG$139,141,0))</f>
        <v>97000</v>
      </c>
      <c r="P11" s="37">
        <f t="shared" si="3"/>
        <v>0.11506524317912219</v>
      </c>
      <c r="Q11" s="36">
        <f t="shared" si="4"/>
        <v>33.658508888319254</v>
      </c>
      <c r="R11" s="9"/>
    </row>
    <row r="12" spans="1:18" x14ac:dyDescent="0.25">
      <c r="A12" s="43" t="s">
        <v>365</v>
      </c>
      <c r="B12" s="43" t="s">
        <v>82</v>
      </c>
      <c r="C12" s="60">
        <f>IF(VLOOKUP(B12,'[1]UT Rate Study HCBS Survey'!$B$6:$FG$139,129,0)=0,"",VLOOKUP(B12,'[1]UT Rate Study HCBS Survey'!$B$6:$FG$139,129,0))</f>
        <v>524272.56</v>
      </c>
      <c r="D12" s="61">
        <f>IF(VLOOKUP(B12,'[1]UT Rate Study HCBS Survey'!$B$6:$FG$139,130,0)=0,"",VLOOKUP(B12,'[1]UT Rate Study HCBS Survey'!$B$6:$FG$139,130,0))</f>
        <v>28895.01</v>
      </c>
      <c r="E12" s="36">
        <f t="shared" si="0"/>
        <v>18.144051862241959</v>
      </c>
      <c r="F12" s="60">
        <f>IF(VLOOKUP(B12,'[1]UT Rate Study HCBS Survey'!$B$6:$FG$139,140,0)=0,"",VLOOKUP(B12,'[1]UT Rate Study HCBS Survey'!$B$6:$FG$139,140,0))</f>
        <v>48206.79</v>
      </c>
      <c r="G12" s="60">
        <f>IF(VLOOKUP(B12,'[1]UT Rate Study HCBS Survey'!$B$6:$FG$139,139,0)=0,"",VLOOKUP(B12,'[1]UT Rate Study HCBS Survey'!$B$6:$FG$139,139,0))</f>
        <v>589272.48</v>
      </c>
      <c r="H12" s="37">
        <f t="shared" si="1"/>
        <v>8.1807299061378194E-2</v>
      </c>
      <c r="I12" s="60" t="str">
        <f>IF(VLOOKUP(B12,'[1]UT Rate Study HCBS Survey'!$B$6:$FG$139,133,0)=0,"",VLOOKUP(B12,'[1]UT Rate Study HCBS Survey'!$B$6:$FG$139,133,0))</f>
        <v/>
      </c>
      <c r="J12" s="60" t="str">
        <f>IF(VLOOKUP(B12,'[1]UT Rate Study HCBS Survey'!$B$6:$FG$139,131,0)=0,"",VLOOKUP(B12,'[1]UT Rate Study HCBS Survey'!$B$6:$FG$139,131,0))</f>
        <v/>
      </c>
      <c r="K12" s="60">
        <f>IF(VLOOKUP(B12,'[1]UT Rate Study HCBS Survey'!$B$6:$FG$139,134,0)=0,"",VLOOKUP(B12,'[1]UT Rate Study HCBS Survey'!$B$6:$FG$139,134,0))</f>
        <v>6000</v>
      </c>
      <c r="L12" s="60" t="str">
        <f>IF(VLOOKUP(B12,'[1]UT Rate Study HCBS Survey'!$B$6:$FG$139,135,0)=0,"",VLOOKUP(B12,'[1]UT Rate Study HCBS Survey'!$B$6:$FG$139,135,0))</f>
        <v/>
      </c>
      <c r="M12" s="37">
        <f t="shared" si="2"/>
        <v>1.1444428829157109E-2</v>
      </c>
      <c r="N12" s="60">
        <f>IF(VLOOKUP(B12,'[1]UT Rate Study HCBS Survey'!$B$6:$FG$139,138,0)=0,"",VLOOKUP(B12,'[1]UT Rate Study HCBS Survey'!$B$6:$FG$139,138,0))</f>
        <v>1168974.28</v>
      </c>
      <c r="O12" s="60">
        <f>IF(VLOOKUP(B12,'[1]UT Rate Study HCBS Survey'!$B$6:$FG$139,141,0)=0,"",VLOOKUP(B12,'[1]UT Rate Study HCBS Survey'!$B$6:$FG$139,141,0))</f>
        <v>94549.61</v>
      </c>
      <c r="P12" s="37">
        <f t="shared" si="3"/>
        <v>8.0882540888752491E-2</v>
      </c>
      <c r="Q12" s="36">
        <f t="shared" si="4"/>
        <v>21.581589874826445</v>
      </c>
      <c r="R12" s="9"/>
    </row>
    <row r="13" spans="1:18" x14ac:dyDescent="0.25">
      <c r="A13" s="43" t="s">
        <v>365</v>
      </c>
      <c r="B13" s="43" t="s">
        <v>84</v>
      </c>
      <c r="C13" s="60">
        <f>IF(VLOOKUP(B13,'[1]UT Rate Study HCBS Survey'!$B$6:$FG$139,129,0)=0,"",VLOOKUP(B13,'[1]UT Rate Study HCBS Survey'!$B$6:$FG$139,129,0))</f>
        <v>95000</v>
      </c>
      <c r="D13" s="61">
        <f>IF(VLOOKUP(B13,'[1]UT Rate Study HCBS Survey'!$B$6:$FG$139,130,0)=0,"",VLOOKUP(B13,'[1]UT Rate Study HCBS Survey'!$B$6:$FG$139,130,0))</f>
        <v>6333</v>
      </c>
      <c r="E13" s="36">
        <f t="shared" si="0"/>
        <v>15.000789515237644</v>
      </c>
      <c r="F13" s="60">
        <f>IF(VLOOKUP(B13,'[1]UT Rate Study HCBS Survey'!$B$6:$FG$139,140,0)=0,"",VLOOKUP(B13,'[1]UT Rate Study HCBS Survey'!$B$6:$FG$139,140,0))</f>
        <v>7718</v>
      </c>
      <c r="G13" s="60">
        <f>IF(VLOOKUP(B13,'[1]UT Rate Study HCBS Survey'!$B$6:$FG$139,139,0)=0,"",VLOOKUP(B13,'[1]UT Rate Study HCBS Survey'!$B$6:$FG$139,139,0))</f>
        <v>110000</v>
      </c>
      <c r="H13" s="37">
        <f t="shared" si="1"/>
        <v>7.0163636363636359E-2</v>
      </c>
      <c r="I13" s="60" t="str">
        <f>IF(VLOOKUP(B13,'[1]UT Rate Study HCBS Survey'!$B$6:$FG$139,133,0)=0,"",VLOOKUP(B13,'[1]UT Rate Study HCBS Survey'!$B$6:$FG$139,133,0))</f>
        <v/>
      </c>
      <c r="J13" s="60">
        <f>IF(VLOOKUP(B13,'[1]UT Rate Study HCBS Survey'!$B$6:$FG$139,131,0)=0,"",VLOOKUP(B13,'[1]UT Rate Study HCBS Survey'!$B$6:$FG$139,131,0))</f>
        <v>30860</v>
      </c>
      <c r="K13" s="60">
        <f>IF(VLOOKUP(B13,'[1]UT Rate Study HCBS Survey'!$B$6:$FG$139,134,0)=0,"",VLOOKUP(B13,'[1]UT Rate Study HCBS Survey'!$B$6:$FG$139,134,0))</f>
        <v>2500</v>
      </c>
      <c r="L13" s="60">
        <f>IF(VLOOKUP(B13,'[1]UT Rate Study HCBS Survey'!$B$6:$FG$139,135,0)=0,"",VLOOKUP(B13,'[1]UT Rate Study HCBS Survey'!$B$6:$FG$139,135,0))</f>
        <v>70000</v>
      </c>
      <c r="M13" s="37">
        <f t="shared" si="2"/>
        <v>1.0880000000000001</v>
      </c>
      <c r="N13" s="60">
        <f>IF(VLOOKUP(B13,'[1]UT Rate Study HCBS Survey'!$B$6:$FG$139,138,0)=0,"",VLOOKUP(B13,'[1]UT Rate Study HCBS Survey'!$B$6:$FG$139,138,0))</f>
        <v>258172</v>
      </c>
      <c r="O13" s="60">
        <f>IF(VLOOKUP(B13,'[1]UT Rate Study HCBS Survey'!$B$6:$FG$139,141,0)=0,"",VLOOKUP(B13,'[1]UT Rate Study HCBS Survey'!$B$6:$FG$139,141,0))</f>
        <v>19000</v>
      </c>
      <c r="P13" s="37">
        <f t="shared" si="3"/>
        <v>7.3594347954077127E-2</v>
      </c>
      <c r="Q13" s="36">
        <f t="shared" si="4"/>
        <v>34.945985462236756</v>
      </c>
      <c r="R13" s="9"/>
    </row>
    <row r="14" spans="1:18" x14ac:dyDescent="0.25">
      <c r="A14" s="43" t="s">
        <v>365</v>
      </c>
      <c r="B14" s="43" t="s">
        <v>88</v>
      </c>
      <c r="C14" s="60">
        <f>IF(VLOOKUP(B14,'[1]UT Rate Study HCBS Survey'!$B$6:$FG$139,129,0)=0,"",VLOOKUP(B14,'[1]UT Rate Study HCBS Survey'!$B$6:$FG$139,129,0))</f>
        <v>38480</v>
      </c>
      <c r="D14" s="61">
        <f>IF(VLOOKUP(B14,'[1]UT Rate Study HCBS Survey'!$B$6:$FG$139,130,0)=0,"",VLOOKUP(B14,'[1]UT Rate Study HCBS Survey'!$B$6:$FG$139,130,0))</f>
        <v>2080</v>
      </c>
      <c r="E14" s="36">
        <f t="shared" si="0"/>
        <v>18.5</v>
      </c>
      <c r="F14" s="60">
        <f>IF(VLOOKUP(B14,'[1]UT Rate Study HCBS Survey'!$B$6:$FG$139,140,0)=0,"",VLOOKUP(B14,'[1]UT Rate Study HCBS Survey'!$B$6:$FG$139,140,0))</f>
        <v>400000</v>
      </c>
      <c r="G14" s="60">
        <f>IF(VLOOKUP(B14,'[1]UT Rate Study HCBS Survey'!$B$6:$FG$139,139,0)=0,"",VLOOKUP(B14,'[1]UT Rate Study HCBS Survey'!$B$6:$FG$139,139,0))</f>
        <v>2531607</v>
      </c>
      <c r="H14" s="37">
        <f t="shared" si="1"/>
        <v>0.15800240716667319</v>
      </c>
      <c r="I14" s="60" t="str">
        <f>IF(VLOOKUP(B14,'[1]UT Rate Study HCBS Survey'!$B$6:$FG$139,133,0)=0,"",VLOOKUP(B14,'[1]UT Rate Study HCBS Survey'!$B$6:$FG$139,133,0))</f>
        <v/>
      </c>
      <c r="J14" s="60">
        <f>IF(VLOOKUP(B14,'[1]UT Rate Study HCBS Survey'!$B$6:$FG$139,131,0)=0,"",VLOOKUP(B14,'[1]UT Rate Study HCBS Survey'!$B$6:$FG$139,131,0))</f>
        <v>4680</v>
      </c>
      <c r="K14" s="60" t="str">
        <f>IF(VLOOKUP(B14,'[1]UT Rate Study HCBS Survey'!$B$6:$FG$139,134,0)=0,"",VLOOKUP(B14,'[1]UT Rate Study HCBS Survey'!$B$6:$FG$139,134,0))</f>
        <v/>
      </c>
      <c r="L14" s="60">
        <f>IF(VLOOKUP(B14,'[1]UT Rate Study HCBS Survey'!$B$6:$FG$139,135,0)=0,"",VLOOKUP(B14,'[1]UT Rate Study HCBS Survey'!$B$6:$FG$139,135,0))</f>
        <v>7696</v>
      </c>
      <c r="M14" s="37">
        <f t="shared" si="2"/>
        <v>0.32162162162162161</v>
      </c>
      <c r="N14" s="60">
        <f>IF(VLOOKUP(B14,'[1]UT Rate Study HCBS Survey'!$B$6:$FG$139,138,0)=0,"",VLOOKUP(B14,'[1]UT Rate Study HCBS Survey'!$B$6:$FG$139,138,0))</f>
        <v>3028906</v>
      </c>
      <c r="O14" s="60">
        <f>IF(VLOOKUP(B14,'[1]UT Rate Study HCBS Survey'!$B$6:$FG$139,141,0)=0,"",VLOOKUP(B14,'[1]UT Rate Study HCBS Survey'!$B$6:$FG$139,141,0))</f>
        <v>326232</v>
      </c>
      <c r="P14" s="37">
        <f t="shared" si="3"/>
        <v>0.10770621471910981</v>
      </c>
      <c r="Q14" s="36">
        <f t="shared" si="4"/>
        <v>30.677165956015862</v>
      </c>
      <c r="R14" s="9"/>
    </row>
    <row r="15" spans="1:18" x14ac:dyDescent="0.25">
      <c r="A15" s="43" t="s">
        <v>365</v>
      </c>
      <c r="B15" s="43" t="s">
        <v>90</v>
      </c>
      <c r="C15" s="60">
        <f>IF(VLOOKUP(B15,'[1]UT Rate Study HCBS Survey'!$B$6:$FG$139,129,0)=0,"",VLOOKUP(B15,'[1]UT Rate Study HCBS Survey'!$B$6:$FG$139,129,0))</f>
        <v>6757.5</v>
      </c>
      <c r="D15" s="61">
        <f>IF(VLOOKUP(B15,'[1]UT Rate Study HCBS Survey'!$B$6:$FG$139,130,0)=0,"",VLOOKUP(B15,'[1]UT Rate Study HCBS Survey'!$B$6:$FG$139,130,0))</f>
        <v>198.75</v>
      </c>
      <c r="E15" s="36">
        <f t="shared" si="0"/>
        <v>34</v>
      </c>
      <c r="F15" s="60">
        <f>IF(VLOOKUP(B15,'[1]UT Rate Study HCBS Survey'!$B$6:$FG$139,140,0)=0,"",VLOOKUP(B15,'[1]UT Rate Study HCBS Survey'!$B$6:$FG$139,140,0))</f>
        <v>109840</v>
      </c>
      <c r="G15" s="60">
        <f>IF(VLOOKUP(B15,'[1]UT Rate Study HCBS Survey'!$B$6:$FG$139,139,0)=0,"",VLOOKUP(B15,'[1]UT Rate Study HCBS Survey'!$B$6:$FG$139,139,0))</f>
        <v>1833540</v>
      </c>
      <c r="H15" s="37">
        <f t="shared" si="1"/>
        <v>5.9905974235631619E-2</v>
      </c>
      <c r="I15" s="60" t="str">
        <f>IF(VLOOKUP(B15,'[1]UT Rate Study HCBS Survey'!$B$6:$FG$139,133,0)=0,"",VLOOKUP(B15,'[1]UT Rate Study HCBS Survey'!$B$6:$FG$139,133,0))</f>
        <v/>
      </c>
      <c r="J15" s="60">
        <f>IF(VLOOKUP(B15,'[1]UT Rate Study HCBS Survey'!$B$6:$FG$139,131,0)=0,"",VLOOKUP(B15,'[1]UT Rate Study HCBS Survey'!$B$6:$FG$139,131,0))</f>
        <v>936</v>
      </c>
      <c r="K15" s="60" t="str">
        <f>IF(VLOOKUP(B15,'[1]UT Rate Study HCBS Survey'!$B$6:$FG$139,134,0)=0,"",VLOOKUP(B15,'[1]UT Rate Study HCBS Survey'!$B$6:$FG$139,134,0))</f>
        <v/>
      </c>
      <c r="L15" s="60" t="str">
        <f>IF(VLOOKUP(B15,'[1]UT Rate Study HCBS Survey'!$B$6:$FG$139,135,0)=0,"",VLOOKUP(B15,'[1]UT Rate Study HCBS Survey'!$B$6:$FG$139,135,0))</f>
        <v/>
      </c>
      <c r="M15" s="37">
        <f t="shared" si="2"/>
        <v>0.13851276359600445</v>
      </c>
      <c r="N15" s="60">
        <f>IF(VLOOKUP(B15,'[1]UT Rate Study HCBS Survey'!$B$6:$FG$139,138,0)=0,"",VLOOKUP(B15,'[1]UT Rate Study HCBS Survey'!$B$6:$FG$139,138,0))</f>
        <v>2505537</v>
      </c>
      <c r="O15" s="60">
        <f>IF(VLOOKUP(B15,'[1]UT Rate Study HCBS Survey'!$B$6:$FG$139,141,0)=0,"",VLOOKUP(B15,'[1]UT Rate Study HCBS Survey'!$B$6:$FG$139,141,0))</f>
        <v>166000</v>
      </c>
      <c r="P15" s="37">
        <f t="shared" si="3"/>
        <v>6.6253262274713967E-2</v>
      </c>
      <c r="Q15" s="36">
        <f t="shared" si="4"/>
        <v>43.637354156158153</v>
      </c>
      <c r="R15" s="9"/>
    </row>
    <row r="16" spans="1:18" x14ac:dyDescent="0.25">
      <c r="A16" s="43" t="s">
        <v>365</v>
      </c>
      <c r="B16" s="43" t="s">
        <v>91</v>
      </c>
      <c r="C16" s="60">
        <f>IF(VLOOKUP(B16,'[1]UT Rate Study HCBS Survey'!$B$6:$FG$139,129,0)=0,"",VLOOKUP(B16,'[1]UT Rate Study HCBS Survey'!$B$6:$FG$139,129,0))</f>
        <v>282225</v>
      </c>
      <c r="D16" s="61">
        <f>IF(VLOOKUP(B16,'[1]UT Rate Study HCBS Survey'!$B$6:$FG$139,130,0)=0,"",VLOOKUP(B16,'[1]UT Rate Study HCBS Survey'!$B$6:$FG$139,130,0))</f>
        <v>9569</v>
      </c>
      <c r="E16" s="36">
        <f t="shared" si="0"/>
        <v>29.49367750026126</v>
      </c>
      <c r="F16" s="60">
        <f>IF(VLOOKUP(B16,'[1]UT Rate Study HCBS Survey'!$B$6:$FG$139,140,0)=0,"",VLOOKUP(B16,'[1]UT Rate Study HCBS Survey'!$B$6:$FG$139,140,0))</f>
        <v>35812</v>
      </c>
      <c r="G16" s="60">
        <f>IF(VLOOKUP(B16,'[1]UT Rate Study HCBS Survey'!$B$6:$FG$139,139,0)=0,"",VLOOKUP(B16,'[1]UT Rate Study HCBS Survey'!$B$6:$FG$139,139,0))</f>
        <v>693777</v>
      </c>
      <c r="H16" s="37">
        <f t="shared" si="1"/>
        <v>5.1618891949430437E-2</v>
      </c>
      <c r="I16" s="60">
        <f>IF(VLOOKUP(B16,'[1]UT Rate Study HCBS Survey'!$B$6:$FG$139,133,0)=0,"",VLOOKUP(B16,'[1]UT Rate Study HCBS Survey'!$B$6:$FG$139,133,0))</f>
        <v>121365</v>
      </c>
      <c r="J16" s="60">
        <f>IF(VLOOKUP(B16,'[1]UT Rate Study HCBS Survey'!$B$6:$FG$139,131,0)=0,"",VLOOKUP(B16,'[1]UT Rate Study HCBS Survey'!$B$6:$FG$139,131,0))</f>
        <v>269798</v>
      </c>
      <c r="K16" s="60">
        <f>IF(VLOOKUP(B16,'[1]UT Rate Study HCBS Survey'!$B$6:$FG$139,134,0)=0,"",VLOOKUP(B16,'[1]UT Rate Study HCBS Survey'!$B$6:$FG$139,134,0))</f>
        <v>19202</v>
      </c>
      <c r="L16" s="60">
        <f>IF(VLOOKUP(B16,'[1]UT Rate Study HCBS Survey'!$B$6:$FG$139,135,0)=0,"",VLOOKUP(B16,'[1]UT Rate Study HCBS Survey'!$B$6:$FG$139,135,0))</f>
        <v>98220</v>
      </c>
      <c r="M16" s="37">
        <f t="shared" si="2"/>
        <v>0.95943903466389158</v>
      </c>
      <c r="N16" s="60">
        <f>IF(VLOOKUP(B16,'[1]UT Rate Study HCBS Survey'!$B$6:$FG$139,138,0)=0,"",VLOOKUP(B16,'[1]UT Rate Study HCBS Survey'!$B$6:$FG$139,138,0))</f>
        <v>944881</v>
      </c>
      <c r="O16" s="60">
        <f>IF(VLOOKUP(B16,'[1]UT Rate Study HCBS Survey'!$B$6:$FG$139,141,0)=0,"",VLOOKUP(B16,'[1]UT Rate Study HCBS Survey'!$B$6:$FG$139,141,0))</f>
        <v>944881</v>
      </c>
      <c r="P16" s="37">
        <f t="shared" si="3"/>
        <v>1</v>
      </c>
      <c r="Q16" s="36" t="str">
        <f t="shared" si="4"/>
        <v/>
      </c>
      <c r="R16" s="9" t="s">
        <v>361</v>
      </c>
    </row>
    <row r="17" spans="1:18" x14ac:dyDescent="0.25">
      <c r="A17" s="43" t="s">
        <v>365</v>
      </c>
      <c r="B17" s="43" t="s">
        <v>93</v>
      </c>
      <c r="C17" s="60">
        <f>IF(VLOOKUP(B17,'[1]UT Rate Study HCBS Survey'!$B$6:$FG$139,129,0)=0,"",VLOOKUP(B17,'[1]UT Rate Study HCBS Survey'!$B$6:$FG$139,129,0))</f>
        <v>9146225</v>
      </c>
      <c r="D17" s="61">
        <f>IF(VLOOKUP(B17,'[1]UT Rate Study HCBS Survey'!$B$6:$FG$139,130,0)=0,"",VLOOKUP(B17,'[1]UT Rate Study HCBS Survey'!$B$6:$FG$139,130,0))</f>
        <v>476620</v>
      </c>
      <c r="E17" s="36">
        <f t="shared" si="0"/>
        <v>19.189763333473206</v>
      </c>
      <c r="F17" s="60">
        <f>IF(VLOOKUP(B17,'[1]UT Rate Study HCBS Survey'!$B$6:$FG$139,140,0)=0,"",VLOOKUP(B17,'[1]UT Rate Study HCBS Survey'!$B$6:$FG$139,140,0))</f>
        <v>3479521</v>
      </c>
      <c r="G17" s="60">
        <f>IF(VLOOKUP(B17,'[1]UT Rate Study HCBS Survey'!$B$6:$FG$139,139,0)=0,"",VLOOKUP(B17,'[1]UT Rate Study HCBS Survey'!$B$6:$FG$139,139,0))</f>
        <v>14455119</v>
      </c>
      <c r="H17" s="37">
        <f t="shared" si="1"/>
        <v>0.24071202734477662</v>
      </c>
      <c r="I17" s="60">
        <f>IF(VLOOKUP(B17,'[1]UT Rate Study HCBS Survey'!$B$6:$FG$139,133,0)=0,"",VLOOKUP(B17,'[1]UT Rate Study HCBS Survey'!$B$6:$FG$139,133,0))</f>
        <v>114927</v>
      </c>
      <c r="J17" s="60">
        <f>IF(VLOOKUP(B17,'[1]UT Rate Study HCBS Survey'!$B$6:$FG$139,131,0)=0,"",VLOOKUP(B17,'[1]UT Rate Study HCBS Survey'!$B$6:$FG$139,131,0))</f>
        <v>3362770</v>
      </c>
      <c r="K17" s="60">
        <f>IF(VLOOKUP(B17,'[1]UT Rate Study HCBS Survey'!$B$6:$FG$139,134,0)=0,"",VLOOKUP(B17,'[1]UT Rate Study HCBS Survey'!$B$6:$FG$139,134,0))</f>
        <v>937463</v>
      </c>
      <c r="L17" s="60">
        <f>IF(VLOOKUP(B17,'[1]UT Rate Study HCBS Survey'!$B$6:$FG$139,135,0)=0,"",VLOOKUP(B17,'[1]UT Rate Study HCBS Survey'!$B$6:$FG$139,135,0))</f>
        <v>331138</v>
      </c>
      <c r="M17" s="37">
        <f t="shared" si="2"/>
        <v>0.50008584245242926</v>
      </c>
      <c r="N17" s="60">
        <f>IF(VLOOKUP(B17,'[1]UT Rate Study HCBS Survey'!$B$6:$FG$139,138,0)=0,"",VLOOKUP(B17,'[1]UT Rate Study HCBS Survey'!$B$6:$FG$139,138,0))</f>
        <v>22349356</v>
      </c>
      <c r="O17" s="60">
        <f>IF(VLOOKUP(B17,'[1]UT Rate Study HCBS Survey'!$B$6:$FG$139,141,0)=0,"",VLOOKUP(B17,'[1]UT Rate Study HCBS Survey'!$B$6:$FG$139,141,0))</f>
        <v>3149395</v>
      </c>
      <c r="P17" s="37">
        <f t="shared" si="3"/>
        <v>0.14091658837954885</v>
      </c>
      <c r="Q17" s="36">
        <f t="shared" si="4"/>
        <v>38.88504734343708</v>
      </c>
      <c r="R17" s="9"/>
    </row>
    <row r="18" spans="1:18" x14ac:dyDescent="0.25">
      <c r="A18" s="43" t="s">
        <v>365</v>
      </c>
      <c r="B18" s="43" t="s">
        <v>94</v>
      </c>
      <c r="C18" s="60">
        <f>IF(VLOOKUP(B18,'[1]UT Rate Study HCBS Survey'!$B$6:$FG$139,129,0)=0,"",VLOOKUP(B18,'[1]UT Rate Study HCBS Survey'!$B$6:$FG$139,129,0))</f>
        <v>600044</v>
      </c>
      <c r="D18" s="61">
        <f>IF(VLOOKUP(B18,'[1]UT Rate Study HCBS Survey'!$B$6:$FG$139,130,0)=0,"",VLOOKUP(B18,'[1]UT Rate Study HCBS Survey'!$B$6:$FG$139,130,0))</f>
        <v>33628</v>
      </c>
      <c r="E18" s="36">
        <f t="shared" si="0"/>
        <v>17.843582728678481</v>
      </c>
      <c r="F18" s="60">
        <f>IF(VLOOKUP(B18,'[1]UT Rate Study HCBS Survey'!$B$6:$FG$139,140,0)=0,"",VLOOKUP(B18,'[1]UT Rate Study HCBS Survey'!$B$6:$FG$139,140,0))</f>
        <v>107969</v>
      </c>
      <c r="G18" s="60">
        <f>IF(VLOOKUP(B18,'[1]UT Rate Study HCBS Survey'!$B$6:$FG$139,139,0)=0,"",VLOOKUP(B18,'[1]UT Rate Study HCBS Survey'!$B$6:$FG$139,139,0))</f>
        <v>853321</v>
      </c>
      <c r="H18" s="37">
        <f t="shared" si="1"/>
        <v>0.12652800060000868</v>
      </c>
      <c r="I18" s="60">
        <f>IF(VLOOKUP(B18,'[1]UT Rate Study HCBS Survey'!$B$6:$FG$139,133,0)=0,"",VLOOKUP(B18,'[1]UT Rate Study HCBS Survey'!$B$6:$FG$139,133,0))</f>
        <v>77020</v>
      </c>
      <c r="J18" s="60">
        <f>IF(VLOOKUP(B18,'[1]UT Rate Study HCBS Survey'!$B$6:$FG$139,131,0)=0,"",VLOOKUP(B18,'[1]UT Rate Study HCBS Survey'!$B$6:$FG$139,131,0))</f>
        <v>73097</v>
      </c>
      <c r="K18" s="60">
        <f>IF(VLOOKUP(B18,'[1]UT Rate Study HCBS Survey'!$B$6:$FG$139,134,0)=0,"",VLOOKUP(B18,'[1]UT Rate Study HCBS Survey'!$B$6:$FG$139,134,0))</f>
        <v>447</v>
      </c>
      <c r="L18" s="60">
        <f>IF(VLOOKUP(B18,'[1]UT Rate Study HCBS Survey'!$B$6:$FG$139,135,0)=0,"",VLOOKUP(B18,'[1]UT Rate Study HCBS Survey'!$B$6:$FG$139,135,0))</f>
        <v>61994</v>
      </c>
      <c r="M18" s="37">
        <f t="shared" si="2"/>
        <v>0.2001849160492952</v>
      </c>
      <c r="N18" s="60">
        <f>IF(VLOOKUP(B18,'[1]UT Rate Study HCBS Survey'!$B$6:$FG$139,138,0)=0,"",VLOOKUP(B18,'[1]UT Rate Study HCBS Survey'!$B$6:$FG$139,138,0))</f>
        <v>1785138</v>
      </c>
      <c r="O18" s="60">
        <f>IF(VLOOKUP(B18,'[1]UT Rate Study HCBS Survey'!$B$6:$FG$139,141,0)=0,"",VLOOKUP(B18,'[1]UT Rate Study HCBS Survey'!$B$6:$FG$139,141,0))</f>
        <v>454129</v>
      </c>
      <c r="P18" s="37">
        <f t="shared" si="3"/>
        <v>0.25439433814080481</v>
      </c>
      <c r="Q18" s="36">
        <f t="shared" si="4"/>
        <v>31.750445170182719</v>
      </c>
      <c r="R18" s="9"/>
    </row>
    <row r="19" spans="1:18" x14ac:dyDescent="0.25">
      <c r="A19" s="43" t="s">
        <v>365</v>
      </c>
      <c r="B19" s="43" t="s">
        <v>97</v>
      </c>
      <c r="C19" s="60">
        <f>IF(VLOOKUP(B19,'[1]UT Rate Study HCBS Survey'!$B$6:$FG$139,129,0)=0,"",VLOOKUP(B19,'[1]UT Rate Study HCBS Survey'!$B$6:$FG$139,129,0))</f>
        <v>763436.95</v>
      </c>
      <c r="D19" s="61">
        <f>IF(VLOOKUP(B19,'[1]UT Rate Study HCBS Survey'!$B$6:$FG$139,130,0)=0,"",VLOOKUP(B19,'[1]UT Rate Study HCBS Survey'!$B$6:$FG$139,130,0))</f>
        <v>42453.75</v>
      </c>
      <c r="E19" s="36">
        <f t="shared" si="0"/>
        <v>17.982791861731883</v>
      </c>
      <c r="F19" s="60" t="str">
        <f>IF(VLOOKUP(B19,'[1]UT Rate Study HCBS Survey'!$B$6:$FG$139,140,0)=0,"",VLOOKUP(B19,'[1]UT Rate Study HCBS Survey'!$B$6:$FG$139,140,0))</f>
        <v/>
      </c>
      <c r="G19" s="60" t="str">
        <f>IF(VLOOKUP(B19,'[1]UT Rate Study HCBS Survey'!$B$6:$FG$139,139,0)=0,"",VLOOKUP(B19,'[1]UT Rate Study HCBS Survey'!$B$6:$FG$139,139,0))</f>
        <v/>
      </c>
      <c r="H19" s="37" t="str">
        <f t="shared" si="1"/>
        <v/>
      </c>
      <c r="I19" s="60" t="str">
        <f>IF(VLOOKUP(B19,'[1]UT Rate Study HCBS Survey'!$B$6:$FG$139,133,0)=0,"",VLOOKUP(B19,'[1]UT Rate Study HCBS Survey'!$B$6:$FG$139,133,0))</f>
        <v/>
      </c>
      <c r="J19" s="60">
        <f>IF(VLOOKUP(B19,'[1]UT Rate Study HCBS Survey'!$B$6:$FG$139,131,0)=0,"",VLOOKUP(B19,'[1]UT Rate Study HCBS Survey'!$B$6:$FG$139,131,0))</f>
        <v>182500</v>
      </c>
      <c r="K19" s="60" t="str">
        <f>IF(VLOOKUP(B19,'[1]UT Rate Study HCBS Survey'!$B$6:$FG$139,134,0)=0,"",VLOOKUP(B19,'[1]UT Rate Study HCBS Survey'!$B$6:$FG$139,134,0))</f>
        <v/>
      </c>
      <c r="L19" s="60" t="str">
        <f>IF(VLOOKUP(B19,'[1]UT Rate Study HCBS Survey'!$B$6:$FG$139,135,0)=0,"",VLOOKUP(B19,'[1]UT Rate Study HCBS Survey'!$B$6:$FG$139,135,0))</f>
        <v/>
      </c>
      <c r="M19" s="37">
        <f t="shared" si="2"/>
        <v>0.23905052015100922</v>
      </c>
      <c r="N19" s="60" t="str">
        <f>IF(VLOOKUP(B19,'[1]UT Rate Study HCBS Survey'!$B$6:$FG$139,138,0)=0,"",VLOOKUP(B19,'[1]UT Rate Study HCBS Survey'!$B$6:$FG$139,138,0))</f>
        <v/>
      </c>
      <c r="O19" s="60" t="str">
        <f>IF(VLOOKUP(B19,'[1]UT Rate Study HCBS Survey'!$B$6:$FG$139,141,0)=0,"",VLOOKUP(B19,'[1]UT Rate Study HCBS Survey'!$B$6:$FG$139,141,0))</f>
        <v/>
      </c>
      <c r="P19" s="37" t="str">
        <f t="shared" si="3"/>
        <v/>
      </c>
      <c r="Q19" s="36">
        <f t="shared" ref="Q19" si="5">IFERROR(E19*(1+SUM(H19,M19,P19)),"")</f>
        <v>22.281587610046223</v>
      </c>
      <c r="R19" s="9"/>
    </row>
    <row r="20" spans="1:18" x14ac:dyDescent="0.25">
      <c r="A20" s="43" t="s">
        <v>365</v>
      </c>
      <c r="B20" s="43" t="s">
        <v>99</v>
      </c>
      <c r="C20" s="60">
        <f>IF(VLOOKUP(B20,'[1]UT Rate Study HCBS Survey'!$B$6:$FG$139,129,0)=0,"",VLOOKUP(B20,'[1]UT Rate Study HCBS Survey'!$B$6:$FG$139,129,0))</f>
        <v>167172.29</v>
      </c>
      <c r="D20" s="61">
        <f>IF(VLOOKUP(B20,'[1]UT Rate Study HCBS Survey'!$B$6:$FG$139,130,0)=0,"",VLOOKUP(B20,'[1]UT Rate Study HCBS Survey'!$B$6:$FG$139,130,0))</f>
        <v>8859.5</v>
      </c>
      <c r="E20" s="36">
        <f t="shared" si="0"/>
        <v>18.869269146114341</v>
      </c>
      <c r="F20" s="60">
        <f>IF(VLOOKUP(B20,'[1]UT Rate Study HCBS Survey'!$B$6:$FG$139,140,0)=0,"",VLOOKUP(B20,'[1]UT Rate Study HCBS Survey'!$B$6:$FG$139,140,0))</f>
        <v>42965.79</v>
      </c>
      <c r="G20" s="60">
        <f>IF(VLOOKUP(B20,'[1]UT Rate Study HCBS Survey'!$B$6:$FG$139,139,0)=0,"",VLOOKUP(B20,'[1]UT Rate Study HCBS Survey'!$B$6:$FG$139,139,0))</f>
        <v>475498.28</v>
      </c>
      <c r="H20" s="37">
        <f t="shared" si="1"/>
        <v>9.035950666319971E-2</v>
      </c>
      <c r="I20" s="60" t="str">
        <f>IF(VLOOKUP(B20,'[1]UT Rate Study HCBS Survey'!$B$6:$FG$139,133,0)=0,"",VLOOKUP(B20,'[1]UT Rate Study HCBS Survey'!$B$6:$FG$139,133,0))</f>
        <v/>
      </c>
      <c r="J20" s="60">
        <f>IF(VLOOKUP(B20,'[1]UT Rate Study HCBS Survey'!$B$6:$FG$139,131,0)=0,"",VLOOKUP(B20,'[1]UT Rate Study HCBS Survey'!$B$6:$FG$139,131,0))</f>
        <v>30300</v>
      </c>
      <c r="K20" s="60" t="str">
        <f>IF(VLOOKUP(B20,'[1]UT Rate Study HCBS Survey'!$B$6:$FG$139,134,0)=0,"",VLOOKUP(B20,'[1]UT Rate Study HCBS Survey'!$B$6:$FG$139,134,0))</f>
        <v/>
      </c>
      <c r="L20" s="60" t="str">
        <f>IF(VLOOKUP(B20,'[1]UT Rate Study HCBS Survey'!$B$6:$FG$139,135,0)=0,"",VLOOKUP(B20,'[1]UT Rate Study HCBS Survey'!$B$6:$FG$139,135,0))</f>
        <v/>
      </c>
      <c r="M20" s="37">
        <f t="shared" si="2"/>
        <v>0.18125013421781802</v>
      </c>
      <c r="N20" s="60">
        <f>IF(VLOOKUP(B20,'[1]UT Rate Study HCBS Survey'!$B$6:$FG$139,138,0)=0,"",VLOOKUP(B20,'[1]UT Rate Study HCBS Survey'!$B$6:$FG$139,138,0))</f>
        <v>745325.51</v>
      </c>
      <c r="O20" s="60">
        <f>IF(VLOOKUP(B20,'[1]UT Rate Study HCBS Survey'!$B$6:$FG$139,141,0)=0,"",VLOOKUP(B20,'[1]UT Rate Study HCBS Survey'!$B$6:$FG$139,141,0))</f>
        <v>146694.84</v>
      </c>
      <c r="P20" s="37">
        <f t="shared" si="3"/>
        <v>0.19681982976807005</v>
      </c>
      <c r="Q20" s="36">
        <f t="shared" si="4"/>
        <v>29.874174502651144</v>
      </c>
      <c r="R20" s="9"/>
    </row>
    <row r="21" spans="1:18" x14ac:dyDescent="0.25">
      <c r="A21" s="43" t="s">
        <v>365</v>
      </c>
      <c r="B21" s="43" t="s">
        <v>100</v>
      </c>
      <c r="C21" s="60">
        <f>IF(VLOOKUP(B21,'[1]UT Rate Study HCBS Survey'!$B$6:$FG$139,129,0)=0,"",VLOOKUP(B21,'[1]UT Rate Study HCBS Survey'!$B$6:$FG$139,129,0))</f>
        <v>495917</v>
      </c>
      <c r="D21" s="61">
        <f>IF(VLOOKUP(B21,'[1]UT Rate Study HCBS Survey'!$B$6:$FG$139,130,0)=0,"",VLOOKUP(B21,'[1]UT Rate Study HCBS Survey'!$B$6:$FG$139,130,0))</f>
        <v>26588</v>
      </c>
      <c r="E21" s="36">
        <f t="shared" si="0"/>
        <v>18.651910636377313</v>
      </c>
      <c r="F21" s="60">
        <f>IF(VLOOKUP(B21,'[1]UT Rate Study HCBS Survey'!$B$6:$FG$139,140,0)=0,"",VLOOKUP(B21,'[1]UT Rate Study HCBS Survey'!$B$6:$FG$139,140,0))</f>
        <v>69975</v>
      </c>
      <c r="G21" s="60">
        <f>IF(VLOOKUP(B21,'[1]UT Rate Study HCBS Survey'!$B$6:$FG$139,139,0)=0,"",VLOOKUP(B21,'[1]UT Rate Study HCBS Survey'!$B$6:$FG$139,139,0))</f>
        <v>593846</v>
      </c>
      <c r="H21" s="37">
        <f t="shared" si="1"/>
        <v>0.11783357974963206</v>
      </c>
      <c r="I21" s="60" t="str">
        <f>IF(VLOOKUP(B21,'[1]UT Rate Study HCBS Survey'!$B$6:$FG$139,133,0)=0,"",VLOOKUP(B21,'[1]UT Rate Study HCBS Survey'!$B$6:$FG$139,133,0))</f>
        <v/>
      </c>
      <c r="J21" s="60">
        <f>IF(VLOOKUP(B21,'[1]UT Rate Study HCBS Survey'!$B$6:$FG$139,131,0)=0,"",VLOOKUP(B21,'[1]UT Rate Study HCBS Survey'!$B$6:$FG$139,131,0))</f>
        <v>110683</v>
      </c>
      <c r="K21" s="60">
        <f>IF(VLOOKUP(B21,'[1]UT Rate Study HCBS Survey'!$B$6:$FG$139,134,0)=0,"",VLOOKUP(B21,'[1]UT Rate Study HCBS Survey'!$B$6:$FG$139,134,0))</f>
        <v>924</v>
      </c>
      <c r="L21" s="60">
        <f>IF(VLOOKUP(B21,'[1]UT Rate Study HCBS Survey'!$B$6:$FG$139,135,0)=0,"",VLOOKUP(B21,'[1]UT Rate Study HCBS Survey'!$B$6:$FG$139,135,0))</f>
        <v>66036</v>
      </c>
      <c r="M21" s="37">
        <f t="shared" si="2"/>
        <v>0.35821115226943218</v>
      </c>
      <c r="N21" s="60">
        <f>IF(VLOOKUP(B21,'[1]UT Rate Study HCBS Survey'!$B$6:$FG$139,138,0)=0,"",VLOOKUP(B21,'[1]UT Rate Study HCBS Survey'!$B$6:$FG$139,138,0))</f>
        <v>1109956</v>
      </c>
      <c r="O21" s="60">
        <f>IF(VLOOKUP(B21,'[1]UT Rate Study HCBS Survey'!$B$6:$FG$139,141,0)=0,"",VLOOKUP(B21,'[1]UT Rate Study HCBS Survey'!$B$6:$FG$139,141,0))</f>
        <v>285526</v>
      </c>
      <c r="P21" s="37">
        <f t="shared" si="3"/>
        <v>0.25724082756433586</v>
      </c>
      <c r="Q21" s="36">
        <f t="shared" si="4"/>
        <v>37.06592319369809</v>
      </c>
      <c r="R21" s="9"/>
    </row>
    <row r="22" spans="1:18" x14ac:dyDescent="0.25">
      <c r="A22" s="43" t="s">
        <v>365</v>
      </c>
      <c r="B22" s="43" t="s">
        <v>101</v>
      </c>
      <c r="C22" s="60">
        <f>IF(VLOOKUP(B22,'[1]UT Rate Study HCBS Survey'!$B$6:$FG$139,129,0)=0,"",VLOOKUP(B22,'[1]UT Rate Study HCBS Survey'!$B$6:$FG$139,129,0))</f>
        <v>471957</v>
      </c>
      <c r="D22" s="61">
        <f>IF(VLOOKUP(B22,'[1]UT Rate Study HCBS Survey'!$B$6:$FG$139,130,0)=0,"",VLOOKUP(B22,'[1]UT Rate Study HCBS Survey'!$B$6:$FG$139,130,0))</f>
        <v>27830</v>
      </c>
      <c r="E22" s="36">
        <f t="shared" si="0"/>
        <v>16.958569888609414</v>
      </c>
      <c r="F22" s="60">
        <f>IF(VLOOKUP(B22,'[1]UT Rate Study HCBS Survey'!$B$6:$FG$139,140,0)=0,"",VLOOKUP(B22,'[1]UT Rate Study HCBS Survey'!$B$6:$FG$139,140,0))</f>
        <v>92972</v>
      </c>
      <c r="G22" s="60">
        <f>IF(VLOOKUP(B22,'[1]UT Rate Study HCBS Survey'!$B$6:$FG$139,139,0)=0,"",VLOOKUP(B22,'[1]UT Rate Study HCBS Survey'!$B$6:$FG$139,139,0))</f>
        <v>939840</v>
      </c>
      <c r="H22" s="37">
        <f t="shared" si="1"/>
        <v>9.8923220973782769E-2</v>
      </c>
      <c r="I22" s="60">
        <f>IF(VLOOKUP(B22,'[1]UT Rate Study HCBS Survey'!$B$6:$FG$139,133,0)=0,"",VLOOKUP(B22,'[1]UT Rate Study HCBS Survey'!$B$6:$FG$139,133,0))</f>
        <v>213827</v>
      </c>
      <c r="J22" s="60">
        <f>IF(VLOOKUP(B22,'[1]UT Rate Study HCBS Survey'!$B$6:$FG$139,131,0)=0,"",VLOOKUP(B22,'[1]UT Rate Study HCBS Survey'!$B$6:$FG$139,131,0))</f>
        <v>2598</v>
      </c>
      <c r="K22" s="60" t="str">
        <f>IF(VLOOKUP(B22,'[1]UT Rate Study HCBS Survey'!$B$6:$FG$139,134,0)=0,"",VLOOKUP(B22,'[1]UT Rate Study HCBS Survey'!$B$6:$FG$139,134,0))</f>
        <v/>
      </c>
      <c r="L22" s="60">
        <f>IF(VLOOKUP(B22,'[1]UT Rate Study HCBS Survey'!$B$6:$FG$139,135,0)=0,"",VLOOKUP(B22,'[1]UT Rate Study HCBS Survey'!$B$6:$FG$139,135,0))</f>
        <v>73864</v>
      </c>
      <c r="M22" s="37">
        <f t="shared" si="2"/>
        <v>0.11149574793229355</v>
      </c>
      <c r="N22" s="60">
        <f>IF(VLOOKUP(B22,'[1]UT Rate Study HCBS Survey'!$B$6:$FG$139,138,0)=0,"",VLOOKUP(B22,'[1]UT Rate Study HCBS Survey'!$B$6:$FG$139,138,0))</f>
        <v>2552064</v>
      </c>
      <c r="O22" s="60">
        <f>IF(VLOOKUP(B22,'[1]UT Rate Study HCBS Survey'!$B$6:$FG$139,141,0)=0,"",VLOOKUP(B22,'[1]UT Rate Study HCBS Survey'!$B$6:$FG$139,141,0))</f>
        <v>554697</v>
      </c>
      <c r="P22" s="37">
        <f t="shared" si="3"/>
        <v>0.21735230777911527</v>
      </c>
      <c r="Q22" s="36">
        <f t="shared" si="4"/>
        <v>26.227605195440816</v>
      </c>
      <c r="R22" s="9"/>
    </row>
    <row r="23" spans="1:18" x14ac:dyDescent="0.25">
      <c r="A23" s="43" t="s">
        <v>365</v>
      </c>
      <c r="B23" s="43" t="s">
        <v>102</v>
      </c>
      <c r="C23" s="60">
        <f>IF(VLOOKUP(B23,'[1]UT Rate Study HCBS Survey'!$B$6:$FG$139,129,0)=0,"",VLOOKUP(B23,'[1]UT Rate Study HCBS Survey'!$B$6:$FG$139,129,0))</f>
        <v>564497</v>
      </c>
      <c r="D23" s="61">
        <f>IF(VLOOKUP(B23,'[1]UT Rate Study HCBS Survey'!$B$6:$FG$139,130,0)=0,"",VLOOKUP(B23,'[1]UT Rate Study HCBS Survey'!$B$6:$FG$139,130,0))</f>
        <v>28835</v>
      </c>
      <c r="E23" s="36">
        <f t="shared" si="0"/>
        <v>19.576799028957865</v>
      </c>
      <c r="F23" s="60">
        <f>IF(VLOOKUP(B23,'[1]UT Rate Study HCBS Survey'!$B$6:$FG$139,140,0)=0,"",VLOOKUP(B23,'[1]UT Rate Study HCBS Survey'!$B$6:$FG$139,140,0))</f>
        <v>109799</v>
      </c>
      <c r="G23" s="60">
        <f>IF(VLOOKUP(B23,'[1]UT Rate Study HCBS Survey'!$B$6:$FG$139,139,0)=0,"",VLOOKUP(B23,'[1]UT Rate Study HCBS Survey'!$B$6:$FG$139,139,0))</f>
        <v>740999</v>
      </c>
      <c r="H23" s="37">
        <f t="shared" si="1"/>
        <v>0.14817698809310134</v>
      </c>
      <c r="I23" s="60">
        <f>IF(VLOOKUP(B23,'[1]UT Rate Study HCBS Survey'!$B$6:$FG$139,133,0)=0,"",VLOOKUP(B23,'[1]UT Rate Study HCBS Survey'!$B$6:$FG$139,133,0))</f>
        <v>9163</v>
      </c>
      <c r="J23" s="60">
        <f>IF(VLOOKUP(B23,'[1]UT Rate Study HCBS Survey'!$B$6:$FG$139,131,0)=0,"",VLOOKUP(B23,'[1]UT Rate Study HCBS Survey'!$B$6:$FG$139,131,0))</f>
        <v>105234</v>
      </c>
      <c r="K23" s="60" t="str">
        <f>IF(VLOOKUP(B23,'[1]UT Rate Study HCBS Survey'!$B$6:$FG$139,134,0)=0,"",VLOOKUP(B23,'[1]UT Rate Study HCBS Survey'!$B$6:$FG$139,134,0))</f>
        <v/>
      </c>
      <c r="L23" s="60">
        <f>IF(VLOOKUP(B23,'[1]UT Rate Study HCBS Survey'!$B$6:$FG$139,135,0)=0,"",VLOOKUP(B23,'[1]UT Rate Study HCBS Survey'!$B$6:$FG$139,135,0))</f>
        <v>72291</v>
      </c>
      <c r="M23" s="37">
        <f t="shared" si="2"/>
        <v>0.30946030749921555</v>
      </c>
      <c r="N23" s="60">
        <f>IF(VLOOKUP(B23,'[1]UT Rate Study HCBS Survey'!$B$6:$FG$139,138,0)=0,"",VLOOKUP(B23,'[1]UT Rate Study HCBS Survey'!$B$6:$FG$139,138,0))</f>
        <v>2063367</v>
      </c>
      <c r="O23" s="60">
        <f>IF(VLOOKUP(B23,'[1]UT Rate Study HCBS Survey'!$B$6:$FG$139,141,0)=0,"",VLOOKUP(B23,'[1]UT Rate Study HCBS Survey'!$B$6:$FG$139,141,0))</f>
        <v>376421</v>
      </c>
      <c r="P23" s="37">
        <f t="shared" si="3"/>
        <v>0.1824304643817605</v>
      </c>
      <c r="Q23" s="36">
        <f t="shared" si="4"/>
        <v>34.903297089397832</v>
      </c>
      <c r="R23" s="9"/>
    </row>
    <row r="24" spans="1:18" x14ac:dyDescent="0.25">
      <c r="A24" s="43" t="s">
        <v>365</v>
      </c>
      <c r="B24" s="43" t="s">
        <v>103</v>
      </c>
      <c r="C24" s="60">
        <f>IF(VLOOKUP(B24,'[1]UT Rate Study HCBS Survey'!$B$6:$FG$139,129,0)=0,"",VLOOKUP(B24,'[1]UT Rate Study HCBS Survey'!$B$6:$FG$139,129,0))</f>
        <v>490103</v>
      </c>
      <c r="D24" s="61">
        <f>IF(VLOOKUP(B24,'[1]UT Rate Study HCBS Survey'!$B$6:$FG$139,130,0)=0,"",VLOOKUP(B24,'[1]UT Rate Study HCBS Survey'!$B$6:$FG$139,130,0))</f>
        <v>21960</v>
      </c>
      <c r="E24" s="36">
        <f t="shared" si="0"/>
        <v>22.317987249544625</v>
      </c>
      <c r="F24" s="60">
        <f>IF(VLOOKUP(B24,'[1]UT Rate Study HCBS Survey'!$B$6:$FG$139,140,0)=0,"",VLOOKUP(B24,'[1]UT Rate Study HCBS Survey'!$B$6:$FG$139,140,0))</f>
        <v>117159</v>
      </c>
      <c r="G24" s="60">
        <f>IF(VLOOKUP(B24,'[1]UT Rate Study HCBS Survey'!$B$6:$FG$139,139,0)=0,"",VLOOKUP(B24,'[1]UT Rate Study HCBS Survey'!$B$6:$FG$139,139,0))</f>
        <v>776772</v>
      </c>
      <c r="H24" s="37">
        <f t="shared" si="1"/>
        <v>0.1508280422054348</v>
      </c>
      <c r="I24" s="60">
        <f>IF(VLOOKUP(B24,'[1]UT Rate Study HCBS Survey'!$B$6:$FG$139,133,0)=0,"",VLOOKUP(B24,'[1]UT Rate Study HCBS Survey'!$B$6:$FG$139,133,0))</f>
        <v>23162</v>
      </c>
      <c r="J24" s="60">
        <f>IF(VLOOKUP(B24,'[1]UT Rate Study HCBS Survey'!$B$6:$FG$139,131,0)=0,"",VLOOKUP(B24,'[1]UT Rate Study HCBS Survey'!$B$6:$FG$139,131,0))</f>
        <v>368091</v>
      </c>
      <c r="K24" s="60" t="str">
        <f>IF(VLOOKUP(B24,'[1]UT Rate Study HCBS Survey'!$B$6:$FG$139,134,0)=0,"",VLOOKUP(B24,'[1]UT Rate Study HCBS Survey'!$B$6:$FG$139,134,0))</f>
        <v/>
      </c>
      <c r="L24" s="60">
        <f>IF(VLOOKUP(B24,'[1]UT Rate Study HCBS Survey'!$B$6:$FG$139,135,0)=0,"",VLOOKUP(B24,'[1]UT Rate Study HCBS Survey'!$B$6:$FG$139,135,0))</f>
        <v>92289</v>
      </c>
      <c r="M24" s="37">
        <f t="shared" si="2"/>
        <v>0.89696355683711149</v>
      </c>
      <c r="N24" s="60">
        <f>IF(VLOOKUP(B24,'[1]UT Rate Study HCBS Survey'!$B$6:$FG$139,138,0)=0,"",VLOOKUP(B24,'[1]UT Rate Study HCBS Survey'!$B$6:$FG$139,138,0))</f>
        <v>1577906</v>
      </c>
      <c r="O24" s="60">
        <f>IF(VLOOKUP(B24,'[1]UT Rate Study HCBS Survey'!$B$6:$FG$139,141,0)=0,"",VLOOKUP(B24,'[1]UT Rate Study HCBS Survey'!$B$6:$FG$139,141,0))</f>
        <v>399775</v>
      </c>
      <c r="P24" s="37">
        <f t="shared" si="3"/>
        <v>0.25335793133431267</v>
      </c>
      <c r="Q24" s="36">
        <f t="shared" si="4"/>
        <v>61.210838117962652</v>
      </c>
      <c r="R24" s="9"/>
    </row>
    <row r="25" spans="1:18" x14ac:dyDescent="0.25">
      <c r="A25" s="43" t="s">
        <v>365</v>
      </c>
      <c r="B25" s="43" t="s">
        <v>104</v>
      </c>
      <c r="C25" s="60">
        <f>IF(VLOOKUP(B25,'[1]UT Rate Study HCBS Survey'!$B$6:$FG$139,129,0)=0,"",VLOOKUP(B25,'[1]UT Rate Study HCBS Survey'!$B$6:$FG$139,129,0))</f>
        <v>424522</v>
      </c>
      <c r="D25" s="61">
        <f>IF(VLOOKUP(B25,'[1]UT Rate Study HCBS Survey'!$B$6:$FG$139,130,0)=0,"",VLOOKUP(B25,'[1]UT Rate Study HCBS Survey'!$B$6:$FG$139,130,0))</f>
        <v>23185</v>
      </c>
      <c r="E25" s="36">
        <f t="shared" si="0"/>
        <v>18.310200560707354</v>
      </c>
      <c r="F25" s="60">
        <f>IF(VLOOKUP(B25,'[1]UT Rate Study HCBS Survey'!$B$6:$FG$139,140,0)=0,"",VLOOKUP(B25,'[1]UT Rate Study HCBS Survey'!$B$6:$FG$139,140,0))</f>
        <v>64242</v>
      </c>
      <c r="G25" s="60">
        <f>IF(VLOOKUP(B25,'[1]UT Rate Study HCBS Survey'!$B$6:$FG$139,139,0)=0,"",VLOOKUP(B25,'[1]UT Rate Study HCBS Survey'!$B$6:$FG$139,139,0))</f>
        <v>586491</v>
      </c>
      <c r="H25" s="37">
        <f t="shared" si="1"/>
        <v>0.10953620771674245</v>
      </c>
      <c r="I25" s="60">
        <f>IF(VLOOKUP(B25,'[1]UT Rate Study HCBS Survey'!$B$6:$FG$139,133,0)=0,"",VLOOKUP(B25,'[1]UT Rate Study HCBS Survey'!$B$6:$FG$139,133,0))</f>
        <v>1271</v>
      </c>
      <c r="J25" s="60">
        <f>IF(VLOOKUP(B25,'[1]UT Rate Study HCBS Survey'!$B$6:$FG$139,131,0)=0,"",VLOOKUP(B25,'[1]UT Rate Study HCBS Survey'!$B$6:$FG$139,131,0))</f>
        <v>23383</v>
      </c>
      <c r="K25" s="60">
        <f>IF(VLOOKUP(B25,'[1]UT Rate Study HCBS Survey'!$B$6:$FG$139,134,0)=0,"",VLOOKUP(B25,'[1]UT Rate Study HCBS Survey'!$B$6:$FG$139,134,0))</f>
        <v>172</v>
      </c>
      <c r="L25" s="60">
        <f>IF(VLOOKUP(B25,'[1]UT Rate Study HCBS Survey'!$B$6:$FG$139,135,0)=0,"",VLOOKUP(B25,'[1]UT Rate Study HCBS Survey'!$B$6:$FG$139,135,0))</f>
        <v>52950</v>
      </c>
      <c r="M25" s="37">
        <f t="shared" si="2"/>
        <v>0.17967650947761002</v>
      </c>
      <c r="N25" s="60">
        <f>IF(VLOOKUP(B25,'[1]UT Rate Study HCBS Survey'!$B$6:$FG$139,138,0)=0,"",VLOOKUP(B25,'[1]UT Rate Study HCBS Survey'!$B$6:$FG$139,138,0))</f>
        <v>1090107</v>
      </c>
      <c r="O25" s="60">
        <f>IF(VLOOKUP(B25,'[1]UT Rate Study HCBS Survey'!$B$6:$FG$139,141,0)=0,"",VLOOKUP(B25,'[1]UT Rate Study HCBS Survey'!$B$6:$FG$139,141,0))</f>
        <v>259282</v>
      </c>
      <c r="P25" s="37">
        <f t="shared" si="3"/>
        <v>0.23785004591292414</v>
      </c>
      <c r="Q25" s="36">
        <f t="shared" si="4"/>
        <v>30.972570805332779</v>
      </c>
      <c r="R25" s="9"/>
    </row>
    <row r="26" spans="1:18" x14ac:dyDescent="0.25">
      <c r="A26" s="43" t="s">
        <v>365</v>
      </c>
      <c r="B26" s="43" t="s">
        <v>105</v>
      </c>
      <c r="C26" s="60">
        <v>652217</v>
      </c>
      <c r="D26" s="61">
        <f>IF(VLOOKUP(B26,'[1]UT Rate Study HCBS Survey'!$B$6:$FG$139,130,0)=0,"",VLOOKUP(B26,'[1]UT Rate Study HCBS Survey'!$B$6:$FG$139,130,0))</f>
        <v>83832</v>
      </c>
      <c r="E26" s="36">
        <f t="shared" si="0"/>
        <v>7.7800481916213382</v>
      </c>
      <c r="F26" s="60">
        <f>IF(VLOOKUP(B26,'[1]UT Rate Study HCBS Survey'!$B$6:$FG$139,140,0)=0,"",VLOOKUP(B26,'[1]UT Rate Study HCBS Survey'!$B$6:$FG$139,140,0))</f>
        <v>2304</v>
      </c>
      <c r="G26" s="60" t="str">
        <f>IF(VLOOKUP(B26,'[1]UT Rate Study HCBS Survey'!$B$6:$FG$139,139,0)=0,"",VLOOKUP(B26,'[1]UT Rate Study HCBS Survey'!$B$6:$FG$139,139,0))</f>
        <v/>
      </c>
      <c r="H26" s="37" t="str">
        <f t="shared" si="1"/>
        <v/>
      </c>
      <c r="I26" s="60">
        <f>IF(VLOOKUP(B26,'[1]UT Rate Study HCBS Survey'!$B$6:$FG$139,133,0)=0,"",VLOOKUP(B26,'[1]UT Rate Study HCBS Survey'!$B$6:$FG$139,133,0))</f>
        <v>652217</v>
      </c>
      <c r="J26" s="60" t="str">
        <f>IF(VLOOKUP(B26,'[1]UT Rate Study HCBS Survey'!$B$6:$FG$139,131,0)=0,"",VLOOKUP(B26,'[1]UT Rate Study HCBS Survey'!$B$6:$FG$139,131,0))</f>
        <v/>
      </c>
      <c r="K26" s="60" t="str">
        <f>IF(VLOOKUP(B26,'[1]UT Rate Study HCBS Survey'!$B$6:$FG$139,134,0)=0,"",VLOOKUP(B26,'[1]UT Rate Study HCBS Survey'!$B$6:$FG$139,134,0))</f>
        <v/>
      </c>
      <c r="L26" s="60">
        <f>IF(VLOOKUP(B26,'[1]UT Rate Study HCBS Survey'!$B$6:$FG$139,135,0)=0,"",VLOOKUP(B26,'[1]UT Rate Study HCBS Survey'!$B$6:$FG$139,135,0))</f>
        <v>700</v>
      </c>
      <c r="M26" s="37">
        <f t="shared" si="2"/>
        <v>5.3663121323117922E-4</v>
      </c>
      <c r="N26" s="60">
        <f>IF(VLOOKUP(B26,'[1]UT Rate Study HCBS Survey'!$B$6:$FG$139,138,0)=0,"",VLOOKUP(B26,'[1]UT Rate Study HCBS Survey'!$B$6:$FG$139,138,0))</f>
        <v>656055</v>
      </c>
      <c r="O26" s="60">
        <f>IF(VLOOKUP(B26,'[1]UT Rate Study HCBS Survey'!$B$6:$FG$139,141,0)=0,"",VLOOKUP(B26,'[1]UT Rate Study HCBS Survey'!$B$6:$FG$139,141,0))</f>
        <v>63674</v>
      </c>
      <c r="P26" s="37">
        <f t="shared" si="3"/>
        <v>9.705588708263789E-2</v>
      </c>
      <c r="Q26" s="36">
        <f>IFERROR((E26)/(1-P26),"")</f>
        <v>8.6163119957495891</v>
      </c>
      <c r="R26" s="9" t="s">
        <v>481</v>
      </c>
    </row>
    <row r="27" spans="1:18" x14ac:dyDescent="0.25">
      <c r="A27" s="43" t="s">
        <v>365</v>
      </c>
      <c r="B27" s="43" t="s">
        <v>106</v>
      </c>
      <c r="C27" s="60">
        <f>IF(VLOOKUP(B27,'[1]UT Rate Study HCBS Survey'!$B$6:$FG$139,129,0)=0,"",VLOOKUP(B27,'[1]UT Rate Study HCBS Survey'!$B$6:$FG$139,129,0))</f>
        <v>1682897</v>
      </c>
      <c r="D27" s="61">
        <f>IF(VLOOKUP(B27,'[1]UT Rate Study HCBS Survey'!$B$6:$FG$139,130,0)=0,"",VLOOKUP(B27,'[1]UT Rate Study HCBS Survey'!$B$6:$FG$139,130,0))</f>
        <v>77028</v>
      </c>
      <c r="E27" s="36">
        <f t="shared" si="0"/>
        <v>21.847860518253103</v>
      </c>
      <c r="F27" s="60">
        <f>IF(VLOOKUP(B27,'[1]UT Rate Study HCBS Survey'!$B$6:$FG$139,140,0)=0,"",VLOOKUP(B27,'[1]UT Rate Study HCBS Survey'!$B$6:$FG$139,140,0))</f>
        <v>396788</v>
      </c>
      <c r="G27" s="60">
        <f>IF(VLOOKUP(B27,'[1]UT Rate Study HCBS Survey'!$B$6:$FG$139,139,0)=0,"",VLOOKUP(B27,'[1]UT Rate Study HCBS Survey'!$B$6:$FG$139,139,0))</f>
        <v>2430396</v>
      </c>
      <c r="H27" s="37">
        <f t="shared" si="1"/>
        <v>0.16326063736115431</v>
      </c>
      <c r="I27" s="60" t="str">
        <f>IF(VLOOKUP(B27,'[1]UT Rate Study HCBS Survey'!$B$6:$FG$139,133,0)=0,"",VLOOKUP(B27,'[1]UT Rate Study HCBS Survey'!$B$6:$FG$139,133,0))</f>
        <v/>
      </c>
      <c r="J27" s="60">
        <f>IF(VLOOKUP(B27,'[1]UT Rate Study HCBS Survey'!$B$6:$FG$139,131,0)=0,"",VLOOKUP(B27,'[1]UT Rate Study HCBS Survey'!$B$6:$FG$139,131,0))</f>
        <v>201626</v>
      </c>
      <c r="K27" s="60">
        <f>IF(VLOOKUP(B27,'[1]UT Rate Study HCBS Survey'!$B$6:$FG$139,134,0)=0,"",VLOOKUP(B27,'[1]UT Rate Study HCBS Survey'!$B$6:$FG$139,134,0))</f>
        <v>4531</v>
      </c>
      <c r="L27" s="60">
        <f>IF(VLOOKUP(B27,'[1]UT Rate Study HCBS Survey'!$B$6:$FG$139,135,0)=0,"",VLOOKUP(B27,'[1]UT Rate Study HCBS Survey'!$B$6:$FG$139,135,0))</f>
        <v>43018</v>
      </c>
      <c r="M27" s="37">
        <f t="shared" si="2"/>
        <v>0.14806313161173856</v>
      </c>
      <c r="N27" s="60">
        <f>IF(VLOOKUP(B27,'[1]UT Rate Study HCBS Survey'!$B$6:$FG$139,138,0)=0,"",VLOOKUP(B27,'[1]UT Rate Study HCBS Survey'!$B$6:$FG$139,138,0))</f>
        <v>2994948</v>
      </c>
      <c r="O27" s="60">
        <f>IF(VLOOKUP(B27,'[1]UT Rate Study HCBS Survey'!$B$6:$FG$139,141,0)=0,"",VLOOKUP(B27,'[1]UT Rate Study HCBS Survey'!$B$6:$FG$139,141,0))</f>
        <v>502797</v>
      </c>
      <c r="P27" s="37">
        <f t="shared" si="3"/>
        <v>0.16788171280436254</v>
      </c>
      <c r="Q27" s="36">
        <f t="shared" si="4"/>
        <v>34.429743030096361</v>
      </c>
      <c r="R27" s="9"/>
    </row>
    <row r="28" spans="1:18" x14ac:dyDescent="0.25">
      <c r="A28" s="43" t="s">
        <v>365</v>
      </c>
      <c r="B28" s="43" t="s">
        <v>107</v>
      </c>
      <c r="C28" s="60">
        <f>IF(VLOOKUP(B28,'[1]UT Rate Study HCBS Survey'!$B$6:$FG$139,129,0)=0,"",VLOOKUP(B28,'[1]UT Rate Study HCBS Survey'!$B$6:$FG$139,129,0))</f>
        <v>343323</v>
      </c>
      <c r="D28" s="61">
        <f>IF(VLOOKUP(B28,'[1]UT Rate Study HCBS Survey'!$B$6:$FG$139,130,0)=0,"",VLOOKUP(B28,'[1]UT Rate Study HCBS Survey'!$B$6:$FG$139,130,0))</f>
        <v>19073</v>
      </c>
      <c r="E28" s="36">
        <f t="shared" si="0"/>
        <v>18.000471871231586</v>
      </c>
      <c r="F28" s="60">
        <f>IF(VLOOKUP(B28,'[1]UT Rate Study HCBS Survey'!$B$6:$FG$139,140,0)=0,"",VLOOKUP(B28,'[1]UT Rate Study HCBS Survey'!$B$6:$FG$139,140,0))</f>
        <v>115078</v>
      </c>
      <c r="G28" s="60">
        <f>IF(VLOOKUP(B28,'[1]UT Rate Study HCBS Survey'!$B$6:$FG$139,139,0)=0,"",VLOOKUP(B28,'[1]UT Rate Study HCBS Survey'!$B$6:$FG$139,139,0))</f>
        <v>1065571</v>
      </c>
      <c r="H28" s="37">
        <f t="shared" si="1"/>
        <v>0.10799655771412699</v>
      </c>
      <c r="I28" s="60" t="str">
        <f>IF(VLOOKUP(B28,'[1]UT Rate Study HCBS Survey'!$B$6:$FG$139,133,0)=0,"",VLOOKUP(B28,'[1]UT Rate Study HCBS Survey'!$B$6:$FG$139,133,0))</f>
        <v/>
      </c>
      <c r="J28" s="60">
        <f>IF(VLOOKUP(B28,'[1]UT Rate Study HCBS Survey'!$B$6:$FG$139,131,0)=0,"",VLOOKUP(B28,'[1]UT Rate Study HCBS Survey'!$B$6:$FG$139,131,0))</f>
        <v>87795</v>
      </c>
      <c r="K28" s="60">
        <f>IF(VLOOKUP(B28,'[1]UT Rate Study HCBS Survey'!$B$6:$FG$139,134,0)=0,"",VLOOKUP(B28,'[1]UT Rate Study HCBS Survey'!$B$6:$FG$139,134,0))</f>
        <v>238</v>
      </c>
      <c r="L28" s="60">
        <f>IF(VLOOKUP(B28,'[1]UT Rate Study HCBS Survey'!$B$6:$FG$139,135,0)=0,"",VLOOKUP(B28,'[1]UT Rate Study HCBS Survey'!$B$6:$FG$139,135,0))</f>
        <v>2217</v>
      </c>
      <c r="M28" s="37">
        <f t="shared" si="2"/>
        <v>0.26287198935113582</v>
      </c>
      <c r="N28" s="60">
        <f>IF(VLOOKUP(B28,'[1]UT Rate Study HCBS Survey'!$B$6:$FG$139,138,0)=0,"",VLOOKUP(B28,'[1]UT Rate Study HCBS Survey'!$B$6:$FG$139,138,0))</f>
        <v>1909598</v>
      </c>
      <c r="O28" s="60">
        <f>IF(VLOOKUP(B28,'[1]UT Rate Study HCBS Survey'!$B$6:$FG$139,141,0)=0,"",VLOOKUP(B28,'[1]UT Rate Study HCBS Survey'!$B$6:$FG$139,141,0))</f>
        <v>876669</v>
      </c>
      <c r="P28" s="37">
        <f t="shared" si="3"/>
        <v>0.45908562954087717</v>
      </c>
      <c r="Q28" s="36">
        <f t="shared" si="4"/>
        <v>45.619569507202023</v>
      </c>
      <c r="R28" s="9"/>
    </row>
    <row r="29" spans="1:18" x14ac:dyDescent="0.25">
      <c r="A29" s="43" t="s">
        <v>365</v>
      </c>
      <c r="B29" s="43" t="s">
        <v>108</v>
      </c>
      <c r="C29" s="60">
        <f>IF(VLOOKUP(B29,'[1]UT Rate Study HCBS Survey'!$B$6:$FG$139,129,0)=0,"",VLOOKUP(B29,'[1]UT Rate Study HCBS Survey'!$B$6:$FG$139,129,0))</f>
        <v>806542.28</v>
      </c>
      <c r="D29" s="61">
        <f>IF(VLOOKUP(B29,'[1]UT Rate Study HCBS Survey'!$B$6:$FG$139,130,0)=0,"",VLOOKUP(B29,'[1]UT Rate Study HCBS Survey'!$B$6:$FG$139,130,0))</f>
        <v>45981.99</v>
      </c>
      <c r="E29" s="36">
        <f t="shared" si="0"/>
        <v>17.540395272148945</v>
      </c>
      <c r="F29" s="60">
        <f>IF(VLOOKUP(B29,'[1]UT Rate Study HCBS Survey'!$B$6:$FG$139,140,0)=0,"",VLOOKUP(B29,'[1]UT Rate Study HCBS Survey'!$B$6:$FG$139,140,0))</f>
        <v>46601.21</v>
      </c>
      <c r="G29" s="60">
        <f>IF(VLOOKUP(B29,'[1]UT Rate Study HCBS Survey'!$B$6:$FG$139,139,0)=0,"",VLOOKUP(B29,'[1]UT Rate Study HCBS Survey'!$B$6:$FG$139,139,0))</f>
        <v>1017101.73</v>
      </c>
      <c r="H29" s="37">
        <f t="shared" si="1"/>
        <v>4.5817648938616985E-2</v>
      </c>
      <c r="I29" s="60" t="str">
        <f>IF(VLOOKUP(B29,'[1]UT Rate Study HCBS Survey'!$B$6:$FG$139,133,0)=0,"",VLOOKUP(B29,'[1]UT Rate Study HCBS Survey'!$B$6:$FG$139,133,0))</f>
        <v/>
      </c>
      <c r="J29" s="60">
        <f>IF(VLOOKUP(B29,'[1]UT Rate Study HCBS Survey'!$B$6:$FG$139,131,0)=0,"",VLOOKUP(B29,'[1]UT Rate Study HCBS Survey'!$B$6:$FG$139,131,0))</f>
        <v>91152.89</v>
      </c>
      <c r="K29" s="60" t="str">
        <f>IF(VLOOKUP(B29,'[1]UT Rate Study HCBS Survey'!$B$6:$FG$139,134,0)=0,"",VLOOKUP(B29,'[1]UT Rate Study HCBS Survey'!$B$6:$FG$139,134,0))</f>
        <v/>
      </c>
      <c r="L29" s="60" t="str">
        <f>IF(VLOOKUP(B29,'[1]UT Rate Study HCBS Survey'!$B$6:$FG$139,135,0)=0,"",VLOOKUP(B29,'[1]UT Rate Study HCBS Survey'!$B$6:$FG$139,135,0))</f>
        <v/>
      </c>
      <c r="M29" s="37">
        <f t="shared" si="2"/>
        <v>0.11301687742891792</v>
      </c>
      <c r="N29" s="60">
        <f>IF(VLOOKUP(B29,'[1]UT Rate Study HCBS Survey'!$B$6:$FG$139,138,0)=0,"",VLOOKUP(B29,'[1]UT Rate Study HCBS Survey'!$B$6:$FG$139,138,0))</f>
        <v>2820663.81</v>
      </c>
      <c r="O29" s="60">
        <f>IF(VLOOKUP(B29,'[1]UT Rate Study HCBS Survey'!$B$6:$FG$139,141,0)=0,"",VLOOKUP(B29,'[1]UT Rate Study HCBS Survey'!$B$6:$FG$139,141,0))</f>
        <v>93604.3</v>
      </c>
      <c r="P29" s="37">
        <f t="shared" si="3"/>
        <v>3.3185202599525676E-2</v>
      </c>
      <c r="Q29" s="36">
        <f t="shared" si="4"/>
        <v>21.024104825611658</v>
      </c>
      <c r="R29" s="9"/>
    </row>
    <row r="30" spans="1:18" x14ac:dyDescent="0.25">
      <c r="A30" s="43" t="s">
        <v>365</v>
      </c>
      <c r="B30" s="43" t="s">
        <v>110</v>
      </c>
      <c r="C30" s="60">
        <f>IF(VLOOKUP(B30,'[1]UT Rate Study HCBS Survey'!$B$6:$FG$139,129,0)=0,"",VLOOKUP(B30,'[1]UT Rate Study HCBS Survey'!$B$6:$FG$139,129,0))</f>
        <v>144556</v>
      </c>
      <c r="D30" s="61">
        <f>IF(VLOOKUP(B30,'[1]UT Rate Study HCBS Survey'!$B$6:$FG$139,130,0)=0,"",VLOOKUP(B30,'[1]UT Rate Study HCBS Survey'!$B$6:$FG$139,130,0))</f>
        <v>8992</v>
      </c>
      <c r="E30" s="36">
        <f t="shared" si="0"/>
        <v>16.076067615658364</v>
      </c>
      <c r="F30" s="60">
        <f>IF(VLOOKUP(B30,'[1]UT Rate Study HCBS Survey'!$B$6:$FG$139,140,0)=0,"",VLOOKUP(B30,'[1]UT Rate Study HCBS Survey'!$B$6:$FG$139,140,0))</f>
        <v>19715</v>
      </c>
      <c r="G30" s="60">
        <f>IF(VLOOKUP(B30,'[1]UT Rate Study HCBS Survey'!$B$6:$FG$139,139,0)=0,"",VLOOKUP(B30,'[1]UT Rate Study HCBS Survey'!$B$6:$FG$139,139,0))</f>
        <v>194020</v>
      </c>
      <c r="H30" s="37">
        <f t="shared" si="1"/>
        <v>0.10161323574889186</v>
      </c>
      <c r="I30" s="60" t="str">
        <f>IF(VLOOKUP(B30,'[1]UT Rate Study HCBS Survey'!$B$6:$FG$139,133,0)=0,"",VLOOKUP(B30,'[1]UT Rate Study HCBS Survey'!$B$6:$FG$139,133,0))</f>
        <v/>
      </c>
      <c r="J30" s="60">
        <f>IF(VLOOKUP(B30,'[1]UT Rate Study HCBS Survey'!$B$6:$FG$139,131,0)=0,"",VLOOKUP(B30,'[1]UT Rate Study HCBS Survey'!$B$6:$FG$139,131,0))</f>
        <v>20864</v>
      </c>
      <c r="K30" s="60" t="str">
        <f>IF(VLOOKUP(B30,'[1]UT Rate Study HCBS Survey'!$B$6:$FG$139,134,0)=0,"",VLOOKUP(B30,'[1]UT Rate Study HCBS Survey'!$B$6:$FG$139,134,0))</f>
        <v/>
      </c>
      <c r="L30" s="60" t="str">
        <f>IF(VLOOKUP(B30,'[1]UT Rate Study HCBS Survey'!$B$6:$FG$139,135,0)=0,"",VLOOKUP(B30,'[1]UT Rate Study HCBS Survey'!$B$6:$FG$139,135,0))</f>
        <v/>
      </c>
      <c r="M30" s="37">
        <f t="shared" si="2"/>
        <v>0.14433160851158028</v>
      </c>
      <c r="N30" s="60">
        <f>IF(VLOOKUP(B30,'[1]UT Rate Study HCBS Survey'!$B$6:$FG$139,138,0)=0,"",VLOOKUP(B30,'[1]UT Rate Study HCBS Survey'!$B$6:$FG$139,138,0))</f>
        <v>316589</v>
      </c>
      <c r="O30" s="60">
        <f>IF(VLOOKUP(B30,'[1]UT Rate Study HCBS Survey'!$B$6:$FG$139,141,0)=0,"",VLOOKUP(B30,'[1]UT Rate Study HCBS Survey'!$B$6:$FG$139,141,0))</f>
        <v>28600</v>
      </c>
      <c r="P30" s="37">
        <f t="shared" si="3"/>
        <v>9.0337946043608591E-2</v>
      </c>
      <c r="Q30" s="36">
        <f t="shared" si="4"/>
        <v>22.019049244272971</v>
      </c>
      <c r="R30" s="9"/>
    </row>
    <row r="31" spans="1:18" x14ac:dyDescent="0.25">
      <c r="A31" s="43" t="s">
        <v>365</v>
      </c>
      <c r="B31" s="43" t="s">
        <v>111</v>
      </c>
      <c r="C31" s="60">
        <f>IF(VLOOKUP(B31,'[1]UT Rate Study HCBS Survey'!$B$6:$FG$139,129,0)=0,"",VLOOKUP(B31,'[1]UT Rate Study HCBS Survey'!$B$6:$FG$139,129,0))</f>
        <v>249066.79</v>
      </c>
      <c r="D31" s="61">
        <f>IF(VLOOKUP(B31,'[1]UT Rate Study HCBS Survey'!$B$6:$FG$139,130,0)=0,"",VLOOKUP(B31,'[1]UT Rate Study HCBS Survey'!$B$6:$FG$139,130,0))</f>
        <v>11465.59</v>
      </c>
      <c r="E31" s="36">
        <f t="shared" si="0"/>
        <v>21.722980675220377</v>
      </c>
      <c r="F31" s="60">
        <f>IF(VLOOKUP(B31,'[1]UT Rate Study HCBS Survey'!$B$6:$FG$139,140,0)=0,"",VLOOKUP(B31,'[1]UT Rate Study HCBS Survey'!$B$6:$FG$139,140,0))</f>
        <v>93382.47</v>
      </c>
      <c r="G31" s="60">
        <f>IF(VLOOKUP(B31,'[1]UT Rate Study HCBS Survey'!$B$6:$FG$139,139,0)=0,"",VLOOKUP(B31,'[1]UT Rate Study HCBS Survey'!$B$6:$FG$139,139,0))</f>
        <v>1058323.27</v>
      </c>
      <c r="H31" s="37">
        <f t="shared" si="1"/>
        <v>8.8236243732975839E-2</v>
      </c>
      <c r="I31" s="60">
        <f>IF(VLOOKUP(B31,'[1]UT Rate Study HCBS Survey'!$B$6:$FG$139,133,0)=0,"",VLOOKUP(B31,'[1]UT Rate Study HCBS Survey'!$B$6:$FG$139,133,0))</f>
        <v>9038.4</v>
      </c>
      <c r="J31" s="60">
        <f>IF(VLOOKUP(B31,'[1]UT Rate Study HCBS Survey'!$B$6:$FG$139,131,0)=0,"",VLOOKUP(B31,'[1]UT Rate Study HCBS Survey'!$B$6:$FG$139,131,0))</f>
        <v>26583.77</v>
      </c>
      <c r="K31" s="60">
        <f>IF(VLOOKUP(B31,'[1]UT Rate Study HCBS Survey'!$B$6:$FG$139,134,0)=0,"",VLOOKUP(B31,'[1]UT Rate Study HCBS Survey'!$B$6:$FG$139,134,0))</f>
        <v>719.05</v>
      </c>
      <c r="L31" s="60" t="str">
        <f>IF(VLOOKUP(B31,'[1]UT Rate Study HCBS Survey'!$B$6:$FG$139,135,0)=0,"",VLOOKUP(B31,'[1]UT Rate Study HCBS Survey'!$B$6:$FG$139,135,0))</f>
        <v/>
      </c>
      <c r="M31" s="37">
        <f t="shared" si="2"/>
        <v>0.10578175510535065</v>
      </c>
      <c r="N31" s="60">
        <f>IF(VLOOKUP(B31,'[1]UT Rate Study HCBS Survey'!$B$6:$FG$139,138,0)=0,"",VLOOKUP(B31,'[1]UT Rate Study HCBS Survey'!$B$6:$FG$139,138,0))</f>
        <v>1535609.05</v>
      </c>
      <c r="O31" s="60">
        <f>IF(VLOOKUP(B31,'[1]UT Rate Study HCBS Survey'!$B$6:$FG$139,141,0)=0,"",VLOOKUP(B31,'[1]UT Rate Study HCBS Survey'!$B$6:$FG$139,141,0))</f>
        <v>108180</v>
      </c>
      <c r="P31" s="37">
        <f t="shared" si="3"/>
        <v>7.0447618161666864E-2</v>
      </c>
      <c r="Q31" s="36">
        <f t="shared" si="4"/>
        <v>27.903354798935176</v>
      </c>
      <c r="R31" s="9"/>
    </row>
    <row r="32" spans="1:18" x14ac:dyDescent="0.25">
      <c r="A32" s="43" t="s">
        <v>365</v>
      </c>
      <c r="B32" s="43" t="s">
        <v>112</v>
      </c>
      <c r="C32" s="60">
        <f>IF(VLOOKUP(B32,'[1]UT Rate Study HCBS Survey'!$B$6:$FG$139,129,0)=0,"",VLOOKUP(B32,'[1]UT Rate Study HCBS Survey'!$B$6:$FG$139,129,0))</f>
        <v>31995.37</v>
      </c>
      <c r="D32" s="61">
        <f>IF(VLOOKUP(B32,'[1]UT Rate Study HCBS Survey'!$B$6:$FG$139,130,0)=0,"",VLOOKUP(B32,'[1]UT Rate Study HCBS Survey'!$B$6:$FG$139,130,0))</f>
        <v>1279.54</v>
      </c>
      <c r="E32" s="36">
        <f t="shared" si="0"/>
        <v>25.005369117026433</v>
      </c>
      <c r="F32" s="60">
        <f>IF(VLOOKUP(B32,'[1]UT Rate Study HCBS Survey'!$B$6:$FG$139,140,0)=0,"",VLOOKUP(B32,'[1]UT Rate Study HCBS Survey'!$B$6:$FG$139,140,0))</f>
        <v>42882.77</v>
      </c>
      <c r="G32" s="60">
        <f>IF(VLOOKUP(B32,'[1]UT Rate Study HCBS Survey'!$B$6:$FG$139,139,0)=0,"",VLOOKUP(B32,'[1]UT Rate Study HCBS Survey'!$B$6:$FG$139,139,0))</f>
        <v>496176.57</v>
      </c>
      <c r="H32" s="37">
        <f t="shared" si="1"/>
        <v>8.6426430816755412E-2</v>
      </c>
      <c r="I32" s="60">
        <f>IF(VLOOKUP(B32,'[1]UT Rate Study HCBS Survey'!$B$6:$FG$139,133,0)=0,"",VLOOKUP(B32,'[1]UT Rate Study HCBS Survey'!$B$6:$FG$139,133,0))</f>
        <v>12240</v>
      </c>
      <c r="J32" s="60">
        <f>IF(VLOOKUP(B32,'[1]UT Rate Study HCBS Survey'!$B$6:$FG$139,131,0)=0,"",VLOOKUP(B32,'[1]UT Rate Study HCBS Survey'!$B$6:$FG$139,131,0))</f>
        <v>4783.8100000000004</v>
      </c>
      <c r="K32" s="60">
        <f>IF(VLOOKUP(B32,'[1]UT Rate Study HCBS Survey'!$B$6:$FG$139,134,0)=0,"",VLOOKUP(B32,'[1]UT Rate Study HCBS Survey'!$B$6:$FG$139,134,0))</f>
        <v>54.39</v>
      </c>
      <c r="L32" s="60">
        <f>IF(VLOOKUP(B32,'[1]UT Rate Study HCBS Survey'!$B$6:$FG$139,135,0)=0,"",VLOOKUP(B32,'[1]UT Rate Study HCBS Survey'!$B$6:$FG$139,135,0))</f>
        <v>97.09</v>
      </c>
      <c r="M32" s="37">
        <f t="shared" si="2"/>
        <v>0.1115688644629852</v>
      </c>
      <c r="N32" s="60">
        <f>IF(VLOOKUP(B32,'[1]UT Rate Study HCBS Survey'!$B$6:$FG$139,138,0)=0,"",VLOOKUP(B32,'[1]UT Rate Study HCBS Survey'!$B$6:$FG$139,138,0))</f>
        <v>709803.46</v>
      </c>
      <c r="O32" s="60">
        <f>IF(VLOOKUP(B32,'[1]UT Rate Study HCBS Survey'!$B$6:$FG$139,141,0)=0,"",VLOOKUP(B32,'[1]UT Rate Study HCBS Survey'!$B$6:$FG$139,141,0))</f>
        <v>53345.13</v>
      </c>
      <c r="P32" s="37">
        <f t="shared" si="3"/>
        <v>7.5154790031595503E-2</v>
      </c>
      <c r="Q32" s="36">
        <f t="shared" si="4"/>
        <v>32.390625194408898</v>
      </c>
      <c r="R32" s="9"/>
    </row>
    <row r="33" spans="1:18" x14ac:dyDescent="0.25">
      <c r="A33" s="43" t="s">
        <v>365</v>
      </c>
      <c r="B33" s="43" t="s">
        <v>113</v>
      </c>
      <c r="C33" s="60">
        <f>IF(VLOOKUP(B33,'[1]UT Rate Study HCBS Survey'!$B$6:$FG$139,129,0)=0,"",VLOOKUP(B33,'[1]UT Rate Study HCBS Survey'!$B$6:$FG$139,129,0))</f>
        <v>3531403</v>
      </c>
      <c r="D33" s="61">
        <f>IF(VLOOKUP(B33,'[1]UT Rate Study HCBS Survey'!$B$6:$FG$139,130,0)=0,"",VLOOKUP(B33,'[1]UT Rate Study HCBS Survey'!$B$6:$FG$139,130,0))</f>
        <v>178196</v>
      </c>
      <c r="E33" s="36">
        <f t="shared" si="0"/>
        <v>19.817521156479383</v>
      </c>
      <c r="F33" s="60">
        <f>IF(VLOOKUP(B33,'[1]UT Rate Study HCBS Survey'!$B$6:$FG$139,140,0)=0,"",VLOOKUP(B33,'[1]UT Rate Study HCBS Survey'!$B$6:$FG$139,140,0))</f>
        <v>1035403</v>
      </c>
      <c r="G33" s="60">
        <f>IF(VLOOKUP(B33,'[1]UT Rate Study HCBS Survey'!$B$6:$FG$139,139,0)=0,"",VLOOKUP(B33,'[1]UT Rate Study HCBS Survey'!$B$6:$FG$139,139,0))</f>
        <v>4028675</v>
      </c>
      <c r="H33" s="37">
        <f t="shared" si="1"/>
        <v>0.25700832159456893</v>
      </c>
      <c r="I33" s="60">
        <f>IF(VLOOKUP(B33,'[1]UT Rate Study HCBS Survey'!$B$6:$FG$139,133,0)=0,"",VLOOKUP(B33,'[1]UT Rate Study HCBS Survey'!$B$6:$FG$139,133,0))</f>
        <v>30420</v>
      </c>
      <c r="J33" s="60">
        <f>IF(VLOOKUP(B33,'[1]UT Rate Study HCBS Survey'!$B$6:$FG$139,131,0)=0,"",VLOOKUP(B33,'[1]UT Rate Study HCBS Survey'!$B$6:$FG$139,131,0))</f>
        <v>663881</v>
      </c>
      <c r="K33" s="60">
        <f>IF(VLOOKUP(B33,'[1]UT Rate Study HCBS Survey'!$B$6:$FG$139,134,0)=0,"",VLOOKUP(B33,'[1]UT Rate Study HCBS Survey'!$B$6:$FG$139,134,0))</f>
        <v>17655</v>
      </c>
      <c r="L33" s="60">
        <f>IF(VLOOKUP(B33,'[1]UT Rate Study HCBS Survey'!$B$6:$FG$139,135,0)=0,"",VLOOKUP(B33,'[1]UT Rate Study HCBS Survey'!$B$6:$FG$139,135,0))</f>
        <v>6288</v>
      </c>
      <c r="M33" s="37">
        <f t="shared" si="2"/>
        <v>0.19311010120379368</v>
      </c>
      <c r="N33" s="60">
        <f>IF(VLOOKUP(B33,'[1]UT Rate Study HCBS Survey'!$B$6:$FG$139,138,0)=0,"",VLOOKUP(B33,'[1]UT Rate Study HCBS Survey'!$B$6:$FG$139,138,0))</f>
        <v>5813388</v>
      </c>
      <c r="O33" s="60">
        <f>IF(VLOOKUP(B33,'[1]UT Rate Study HCBS Survey'!$B$6:$FG$139,141,0)=0,"",VLOOKUP(B33,'[1]UT Rate Study HCBS Survey'!$B$6:$FG$139,141,0))</f>
        <v>1870048</v>
      </c>
      <c r="P33" s="37">
        <f t="shared" si="3"/>
        <v>0.32167954383915198</v>
      </c>
      <c r="Q33" s="36">
        <f t="shared" si="4"/>
        <v>42.366041392672628</v>
      </c>
      <c r="R33" s="9"/>
    </row>
    <row r="34" spans="1:18" x14ac:dyDescent="0.25">
      <c r="A34" s="43" t="s">
        <v>365</v>
      </c>
      <c r="B34" s="43" t="s">
        <v>114</v>
      </c>
      <c r="C34" s="60">
        <f>IF(VLOOKUP(B34,'[1]UT Rate Study HCBS Survey'!$B$6:$FG$139,129,0)=0,"",VLOOKUP(B34,'[1]UT Rate Study HCBS Survey'!$B$6:$FG$139,129,0))</f>
        <v>1201530</v>
      </c>
      <c r="D34" s="61">
        <f>IF(VLOOKUP(B34,'[1]UT Rate Study HCBS Survey'!$B$6:$FG$139,130,0)=0,"",VLOOKUP(B34,'[1]UT Rate Study HCBS Survey'!$B$6:$FG$139,130,0))</f>
        <v>33195</v>
      </c>
      <c r="E34" s="36">
        <f t="shared" si="0"/>
        <v>36.196113872571168</v>
      </c>
      <c r="F34" s="60">
        <f>IF(VLOOKUP(B34,'[1]UT Rate Study HCBS Survey'!$B$6:$FG$139,140,0)=0,"",VLOOKUP(B34,'[1]UT Rate Study HCBS Survey'!$B$6:$FG$139,140,0))</f>
        <v>1376561</v>
      </c>
      <c r="G34" s="60">
        <f>IF(VLOOKUP(B34,'[1]UT Rate Study HCBS Survey'!$B$6:$FG$139,139,0)=0,"",VLOOKUP(B34,'[1]UT Rate Study HCBS Survey'!$B$6:$FG$139,139,0))</f>
        <v>8615062</v>
      </c>
      <c r="H34" s="37">
        <f t="shared" si="1"/>
        <v>0.15978538517772711</v>
      </c>
      <c r="I34" s="60" t="str">
        <f>IF(VLOOKUP(B34,'[1]UT Rate Study HCBS Survey'!$B$6:$FG$139,133,0)=0,"",VLOOKUP(B34,'[1]UT Rate Study HCBS Survey'!$B$6:$FG$139,133,0))</f>
        <v/>
      </c>
      <c r="J34" s="60">
        <f>IF(VLOOKUP(B34,'[1]UT Rate Study HCBS Survey'!$B$6:$FG$139,131,0)=0,"",VLOOKUP(B34,'[1]UT Rate Study HCBS Survey'!$B$6:$FG$139,131,0))</f>
        <v>431750</v>
      </c>
      <c r="K34" s="60">
        <f>IF(VLOOKUP(B34,'[1]UT Rate Study HCBS Survey'!$B$6:$FG$139,134,0)=0,"",VLOOKUP(B34,'[1]UT Rate Study HCBS Survey'!$B$6:$FG$139,134,0))</f>
        <v>271295</v>
      </c>
      <c r="L34" s="60">
        <f>IF(VLOOKUP(B34,'[1]UT Rate Study HCBS Survey'!$B$6:$FG$139,135,0)=0,"",VLOOKUP(B34,'[1]UT Rate Study HCBS Survey'!$B$6:$FG$139,135,0))</f>
        <v>482305</v>
      </c>
      <c r="M34" s="37">
        <f t="shared" si="2"/>
        <v>0.98653383602573386</v>
      </c>
      <c r="N34" s="60">
        <f>IF(VLOOKUP(B34,'[1]UT Rate Study HCBS Survey'!$B$6:$FG$139,138,0)=0,"",VLOOKUP(B34,'[1]UT Rate Study HCBS Survey'!$B$6:$FG$139,138,0))</f>
        <v>15830582</v>
      </c>
      <c r="O34" s="60">
        <f>IF(VLOOKUP(B34,'[1]UT Rate Study HCBS Survey'!$B$6:$FG$139,141,0)=0,"",VLOOKUP(B34,'[1]UT Rate Study HCBS Survey'!$B$6:$FG$139,141,0))</f>
        <v>5390170</v>
      </c>
      <c r="P34" s="37">
        <f t="shared" si="3"/>
        <v>0.34049095604949964</v>
      </c>
      <c r="Q34" s="36">
        <f t="shared" si="4"/>
        <v>117.79734584413018</v>
      </c>
      <c r="R34" s="9"/>
    </row>
    <row r="35" spans="1:18" x14ac:dyDescent="0.25">
      <c r="A35" s="43" t="s">
        <v>365</v>
      </c>
      <c r="B35" s="43" t="s">
        <v>115</v>
      </c>
      <c r="C35" s="60">
        <f>IF(VLOOKUP(B35,'[1]UT Rate Study HCBS Survey'!$B$6:$FG$139,129,0)=0,"",VLOOKUP(B35,'[1]UT Rate Study HCBS Survey'!$B$6:$FG$139,129,0))</f>
        <v>44621</v>
      </c>
      <c r="D35" s="61">
        <f>IF(VLOOKUP(B35,'[1]UT Rate Study HCBS Survey'!$B$6:$FG$139,130,0)=0,"",VLOOKUP(B35,'[1]UT Rate Study HCBS Survey'!$B$6:$FG$139,130,0))</f>
        <v>2131.06</v>
      </c>
      <c r="E35" s="36">
        <f t="shared" si="0"/>
        <v>20.938406239148595</v>
      </c>
      <c r="F35" s="60">
        <f>IF(VLOOKUP(B35,'[1]UT Rate Study HCBS Survey'!$B$6:$FG$139,140,0)=0,"",VLOOKUP(B35,'[1]UT Rate Study HCBS Survey'!$B$6:$FG$139,140,0))</f>
        <v>52285</v>
      </c>
      <c r="G35" s="60">
        <f>IF(VLOOKUP(B35,'[1]UT Rate Study HCBS Survey'!$B$6:$FG$139,139,0)=0,"",VLOOKUP(B35,'[1]UT Rate Study HCBS Survey'!$B$6:$FG$139,139,0))</f>
        <v>852151.95</v>
      </c>
      <c r="H35" s="37">
        <f t="shared" si="1"/>
        <v>6.1356428275497116E-2</v>
      </c>
      <c r="I35" s="60" t="str">
        <f>IF(VLOOKUP(B35,'[1]UT Rate Study HCBS Survey'!$B$6:$FG$139,133,0)=0,"",VLOOKUP(B35,'[1]UT Rate Study HCBS Survey'!$B$6:$FG$139,133,0))</f>
        <v/>
      </c>
      <c r="J35" s="60">
        <f>IF(VLOOKUP(B35,'[1]UT Rate Study HCBS Survey'!$B$6:$FG$139,131,0)=0,"",VLOOKUP(B35,'[1]UT Rate Study HCBS Survey'!$B$6:$FG$139,131,0))</f>
        <v>42000</v>
      </c>
      <c r="K35" s="60">
        <f>IF(VLOOKUP(B35,'[1]UT Rate Study HCBS Survey'!$B$6:$FG$139,134,0)=0,"",VLOOKUP(B35,'[1]UT Rate Study HCBS Survey'!$B$6:$FG$139,134,0))</f>
        <v>2658</v>
      </c>
      <c r="L35" s="60" t="str">
        <f>IF(VLOOKUP(B35,'[1]UT Rate Study HCBS Survey'!$B$6:$FG$139,135,0)=0,"",VLOOKUP(B35,'[1]UT Rate Study HCBS Survey'!$B$6:$FG$139,135,0))</f>
        <v/>
      </c>
      <c r="M35" s="37">
        <f t="shared" si="2"/>
        <v>1.0008292059792474</v>
      </c>
      <c r="N35" s="60">
        <f>IF(VLOOKUP(B35,'[1]UT Rate Study HCBS Survey'!$B$6:$FG$139,138,0)=0,"",VLOOKUP(B35,'[1]UT Rate Study HCBS Survey'!$B$6:$FG$139,138,0))</f>
        <v>2193107.0299999998</v>
      </c>
      <c r="O35" s="60">
        <f>IF(VLOOKUP(B35,'[1]UT Rate Study HCBS Survey'!$B$6:$FG$139,141,0)=0,"",VLOOKUP(B35,'[1]UT Rate Study HCBS Survey'!$B$6:$FG$139,141,0))</f>
        <v>116789</v>
      </c>
      <c r="P35" s="37">
        <f t="shared" si="3"/>
        <v>5.3252758940816498E-2</v>
      </c>
      <c r="Q35" s="36">
        <f t="shared" si="4"/>
        <v>45.60761170241733</v>
      </c>
      <c r="R35" s="9"/>
    </row>
    <row r="36" spans="1:18" x14ac:dyDescent="0.25">
      <c r="A36" s="43" t="s">
        <v>365</v>
      </c>
      <c r="B36" s="43" t="s">
        <v>116</v>
      </c>
      <c r="C36" s="60">
        <f>IF(VLOOKUP(B36,'[1]UT Rate Study HCBS Survey'!$B$6:$FG$139,129,0)=0,"",VLOOKUP(B36,'[1]UT Rate Study HCBS Survey'!$B$6:$FG$139,129,0))</f>
        <v>336270.4</v>
      </c>
      <c r="D36" s="61">
        <f>IF(VLOOKUP(B36,'[1]UT Rate Study HCBS Survey'!$B$6:$FG$139,130,0)=0,"",VLOOKUP(B36,'[1]UT Rate Study HCBS Survey'!$B$6:$FG$139,130,0))</f>
        <v>12463.62</v>
      </c>
      <c r="E36" s="36">
        <f t="shared" si="0"/>
        <v>26.98015504323784</v>
      </c>
      <c r="F36" s="60">
        <f>IF(VLOOKUP(B36,'[1]UT Rate Study HCBS Survey'!$B$6:$FG$139,140,0)=0,"",VLOOKUP(B36,'[1]UT Rate Study HCBS Survey'!$B$6:$FG$139,140,0))</f>
        <v>109834.04</v>
      </c>
      <c r="G36" s="60">
        <f>IF(VLOOKUP(B36,'[1]UT Rate Study HCBS Survey'!$B$6:$FG$139,139,0)=0,"",VLOOKUP(B36,'[1]UT Rate Study HCBS Survey'!$B$6:$FG$139,139,0))</f>
        <v>659107.49</v>
      </c>
      <c r="H36" s="37">
        <f t="shared" si="1"/>
        <v>0.16664055812808318</v>
      </c>
      <c r="I36" s="60" t="str">
        <f>IF(VLOOKUP(B36,'[1]UT Rate Study HCBS Survey'!$B$6:$FG$139,133,0)=0,"",VLOOKUP(B36,'[1]UT Rate Study HCBS Survey'!$B$6:$FG$139,133,0))</f>
        <v/>
      </c>
      <c r="J36" s="60">
        <f>IF(VLOOKUP(B36,'[1]UT Rate Study HCBS Survey'!$B$6:$FG$139,131,0)=0,"",VLOOKUP(B36,'[1]UT Rate Study HCBS Survey'!$B$6:$FG$139,131,0))</f>
        <v>63749.94</v>
      </c>
      <c r="K36" s="60" t="str">
        <f>IF(VLOOKUP(B36,'[1]UT Rate Study HCBS Survey'!$B$6:$FG$139,134,0)=0,"",VLOOKUP(B36,'[1]UT Rate Study HCBS Survey'!$B$6:$FG$139,134,0))</f>
        <v/>
      </c>
      <c r="L36" s="60">
        <f>IF(VLOOKUP(B36,'[1]UT Rate Study HCBS Survey'!$B$6:$FG$139,135,0)=0,"",VLOOKUP(B36,'[1]UT Rate Study HCBS Survey'!$B$6:$FG$139,135,0))</f>
        <v>1340.72</v>
      </c>
      <c r="M36" s="37">
        <f t="shared" si="2"/>
        <v>0.1935664274940643</v>
      </c>
      <c r="N36" s="60">
        <f>IF(VLOOKUP(B36,'[1]UT Rate Study HCBS Survey'!$B$6:$FG$139,138,0)=0,"",VLOOKUP(B36,'[1]UT Rate Study HCBS Survey'!$B$6:$FG$139,138,0))</f>
        <v>1232609.79</v>
      </c>
      <c r="O36" s="60">
        <f>IF(VLOOKUP(B36,'[1]UT Rate Study HCBS Survey'!$B$6:$FG$139,141,0)=0,"",VLOOKUP(B36,'[1]UT Rate Study HCBS Survey'!$B$6:$FG$139,141,0))</f>
        <v>209862.11</v>
      </c>
      <c r="P36" s="37">
        <f t="shared" si="3"/>
        <v>0.17025835077944657</v>
      </c>
      <c r="Q36" s="36">
        <f t="shared" si="4"/>
        <v>44.228942101984181</v>
      </c>
      <c r="R36" s="9"/>
    </row>
    <row r="37" spans="1:18" x14ac:dyDescent="0.25">
      <c r="A37" s="43" t="s">
        <v>365</v>
      </c>
      <c r="B37" s="43" t="s">
        <v>117</v>
      </c>
      <c r="C37" s="60">
        <f>IF(VLOOKUP(B37,'[1]UT Rate Study HCBS Survey'!$B$6:$FG$139,129,0)=0,"",VLOOKUP(B37,'[1]UT Rate Study HCBS Survey'!$B$6:$FG$139,129,0))</f>
        <v>5233446</v>
      </c>
      <c r="D37" s="61">
        <f>IF(VLOOKUP(B37,'[1]UT Rate Study HCBS Survey'!$B$6:$FG$139,130,0)=0,"",VLOOKUP(B37,'[1]UT Rate Study HCBS Survey'!$B$6:$FG$139,130,0))</f>
        <v>176140</v>
      </c>
      <c r="E37" s="36">
        <f t="shared" si="0"/>
        <v>29.71185420688089</v>
      </c>
      <c r="F37" s="60">
        <f>IF(VLOOKUP(B37,'[1]UT Rate Study HCBS Survey'!$B$6:$FG$139,140,0)=0,"",VLOOKUP(B37,'[1]UT Rate Study HCBS Survey'!$B$6:$FG$139,140,0))</f>
        <v>274066</v>
      </c>
      <c r="G37" s="60">
        <f>IF(VLOOKUP(B37,'[1]UT Rate Study HCBS Survey'!$B$6:$FG$139,139,0)=0,"",VLOOKUP(B37,'[1]UT Rate Study HCBS Survey'!$B$6:$FG$139,139,0))</f>
        <v>6266793</v>
      </c>
      <c r="H37" s="37">
        <f t="shared" si="1"/>
        <v>4.3733054530443245E-2</v>
      </c>
      <c r="I37" s="60">
        <f>IF(VLOOKUP(B37,'[1]UT Rate Study HCBS Survey'!$B$6:$FG$139,133,0)=0,"",VLOOKUP(B37,'[1]UT Rate Study HCBS Survey'!$B$6:$FG$139,133,0))</f>
        <v>2693521</v>
      </c>
      <c r="J37" s="60">
        <f>IF(VLOOKUP(B37,'[1]UT Rate Study HCBS Survey'!$B$6:$FG$139,131,0)=0,"",VLOOKUP(B37,'[1]UT Rate Study HCBS Survey'!$B$6:$FG$139,131,0))</f>
        <v>750410</v>
      </c>
      <c r="K37" s="60">
        <f>IF(VLOOKUP(B37,'[1]UT Rate Study HCBS Survey'!$B$6:$FG$139,134,0)=0,"",VLOOKUP(B37,'[1]UT Rate Study HCBS Survey'!$B$6:$FG$139,134,0))</f>
        <v>1058</v>
      </c>
      <c r="L37" s="60">
        <f>IF(VLOOKUP(B37,'[1]UT Rate Study HCBS Survey'!$B$6:$FG$139,135,0)=0,"",VLOOKUP(B37,'[1]UT Rate Study HCBS Survey'!$B$6:$FG$139,135,0))</f>
        <v>86876</v>
      </c>
      <c r="M37" s="37">
        <f t="shared" si="2"/>
        <v>0.10575848240569186</v>
      </c>
      <c r="N37" s="60">
        <f>IF(VLOOKUP(B37,'[1]UT Rate Study HCBS Survey'!$B$6:$FG$139,138,0)=0,"",VLOOKUP(B37,'[1]UT Rate Study HCBS Survey'!$B$6:$FG$139,138,0))</f>
        <v>15706017</v>
      </c>
      <c r="O37" s="60">
        <f>IF(VLOOKUP(B37,'[1]UT Rate Study HCBS Survey'!$B$6:$FG$139,141,0)=0,"",VLOOKUP(B37,'[1]UT Rate Study HCBS Survey'!$B$6:$FG$139,141,0))</f>
        <v>3072725</v>
      </c>
      <c r="P37" s="37">
        <f t="shared" si="3"/>
        <v>0.1956399894384426</v>
      </c>
      <c r="Q37" s="36">
        <f t="shared" si="4"/>
        <v>42.460495933463775</v>
      </c>
      <c r="R37" s="9"/>
    </row>
    <row r="38" spans="1:18" x14ac:dyDescent="0.25">
      <c r="A38" s="43" t="s">
        <v>365</v>
      </c>
      <c r="B38" s="43" t="s">
        <v>118</v>
      </c>
      <c r="C38" s="60">
        <f>IF(VLOOKUP(B38,'[1]UT Rate Study HCBS Survey'!$B$6:$FG$139,129,0)=0,"",VLOOKUP(B38,'[1]UT Rate Study HCBS Survey'!$B$6:$FG$139,129,0))</f>
        <v>775224.63</v>
      </c>
      <c r="D38" s="61">
        <f>IF(VLOOKUP(B38,'[1]UT Rate Study HCBS Survey'!$B$6:$FG$139,130,0)=0,"",VLOOKUP(B38,'[1]UT Rate Study HCBS Survey'!$B$6:$FG$139,130,0))</f>
        <v>33598</v>
      </c>
      <c r="E38" s="36">
        <f t="shared" si="0"/>
        <v>23.073535031847133</v>
      </c>
      <c r="F38" s="60">
        <f>IF(VLOOKUP(B38,'[1]UT Rate Study HCBS Survey'!$B$6:$FG$139,140,0)=0,"",VLOOKUP(B38,'[1]UT Rate Study HCBS Survey'!$B$6:$FG$139,140,0))</f>
        <v>172840.84</v>
      </c>
      <c r="G38" s="60">
        <f>IF(VLOOKUP(B38,'[1]UT Rate Study HCBS Survey'!$B$6:$FG$139,139,0)=0,"",VLOOKUP(B38,'[1]UT Rate Study HCBS Survey'!$B$6:$FG$139,139,0))</f>
        <v>1305990.4300000002</v>
      </c>
      <c r="H38" s="37">
        <f t="shared" si="1"/>
        <v>0.13234464512883143</v>
      </c>
      <c r="I38" s="60">
        <f>IF(VLOOKUP(B38,'[1]UT Rate Study HCBS Survey'!$B$6:$FG$139,133,0)=0,"",VLOOKUP(B38,'[1]UT Rate Study HCBS Survey'!$B$6:$FG$139,133,0))</f>
        <v>167189.4</v>
      </c>
      <c r="J38" s="60">
        <f>IF(VLOOKUP(B38,'[1]UT Rate Study HCBS Survey'!$B$6:$FG$139,131,0)=0,"",VLOOKUP(B38,'[1]UT Rate Study HCBS Survey'!$B$6:$FG$139,131,0))</f>
        <v>344161.93</v>
      </c>
      <c r="K38" s="60">
        <f>IF(VLOOKUP(B38,'[1]UT Rate Study HCBS Survey'!$B$6:$FG$139,134,0)=0,"",VLOOKUP(B38,'[1]UT Rate Study HCBS Survey'!$B$6:$FG$139,134,0))</f>
        <v>46188.6</v>
      </c>
      <c r="L38" s="60">
        <f>IF(VLOOKUP(B38,'[1]UT Rate Study HCBS Survey'!$B$6:$FG$139,135,0)=0,"",VLOOKUP(B38,'[1]UT Rate Study HCBS Survey'!$B$6:$FG$139,135,0))</f>
        <v>32908.06</v>
      </c>
      <c r="M38" s="37">
        <f t="shared" si="2"/>
        <v>0.44912169866571272</v>
      </c>
      <c r="N38" s="60">
        <f>IF(VLOOKUP(B38,'[1]UT Rate Study HCBS Survey'!$B$6:$FG$139,138,0)=0,"",VLOOKUP(B38,'[1]UT Rate Study HCBS Survey'!$B$6:$FG$139,138,0))</f>
        <v>1765627.7</v>
      </c>
      <c r="O38" s="60">
        <f>IF(VLOOKUP(B38,'[1]UT Rate Study HCBS Survey'!$B$6:$FG$139,141,0)=0,"",VLOOKUP(B38,'[1]UT Rate Study HCBS Survey'!$B$6:$FG$139,141,0))</f>
        <v>167012.36999999965</v>
      </c>
      <c r="P38" s="37">
        <f t="shared" si="3"/>
        <v>9.4590932165370789E-2</v>
      </c>
      <c r="Q38" s="36">
        <f t="shared" si="4"/>
        <v>40.302246113461095</v>
      </c>
      <c r="R38" s="9"/>
    </row>
    <row r="39" spans="1:18" x14ac:dyDescent="0.25">
      <c r="A39" s="43" t="s">
        <v>365</v>
      </c>
      <c r="B39" s="43" t="s">
        <v>119</v>
      </c>
      <c r="C39" s="60">
        <f>IF(VLOOKUP(B39,'[1]UT Rate Study HCBS Survey'!$B$6:$FG$139,129,0)=0,"",VLOOKUP(B39,'[1]UT Rate Study HCBS Survey'!$B$6:$FG$139,129,0))</f>
        <v>386486.4</v>
      </c>
      <c r="D39" s="61">
        <f>IF(VLOOKUP(B39,'[1]UT Rate Study HCBS Survey'!$B$6:$FG$139,130,0)=0,"",VLOOKUP(B39,'[1]UT Rate Study HCBS Survey'!$B$6:$FG$139,130,0))</f>
        <v>20350.39</v>
      </c>
      <c r="E39" s="36">
        <f t="shared" si="0"/>
        <v>18.9915967212422</v>
      </c>
      <c r="F39" s="60">
        <f>IF(VLOOKUP(B39,'[1]UT Rate Study HCBS Survey'!$B$6:$FG$139,140,0)=0,"",VLOOKUP(B39,'[1]UT Rate Study HCBS Survey'!$B$6:$FG$139,140,0))</f>
        <v>108762.27</v>
      </c>
      <c r="G39" s="60">
        <f>IF(VLOOKUP(B39,'[1]UT Rate Study HCBS Survey'!$B$6:$FG$139,139,0)=0,"",VLOOKUP(B39,'[1]UT Rate Study HCBS Survey'!$B$6:$FG$139,139,0))</f>
        <v>1058623.95</v>
      </c>
      <c r="H39" s="37">
        <f t="shared" si="1"/>
        <v>0.10273928716613677</v>
      </c>
      <c r="I39" s="60" t="str">
        <f>IF(VLOOKUP(B39,'[1]UT Rate Study HCBS Survey'!$B$6:$FG$139,133,0)=0,"",VLOOKUP(B39,'[1]UT Rate Study HCBS Survey'!$B$6:$FG$139,133,0))</f>
        <v/>
      </c>
      <c r="J39" s="60">
        <f>IF(VLOOKUP(B39,'[1]UT Rate Study HCBS Survey'!$B$6:$FG$139,131,0)=0,"",VLOOKUP(B39,'[1]UT Rate Study HCBS Survey'!$B$6:$FG$139,131,0))</f>
        <v>82125</v>
      </c>
      <c r="K39" s="60" t="str">
        <f>IF(VLOOKUP(B39,'[1]UT Rate Study HCBS Survey'!$B$6:$FG$139,134,0)=0,"",VLOOKUP(B39,'[1]UT Rate Study HCBS Survey'!$B$6:$FG$139,134,0))</f>
        <v/>
      </c>
      <c r="L39" s="60">
        <f>IF(VLOOKUP(B39,'[1]UT Rate Study HCBS Survey'!$B$6:$FG$139,135,0)=0,"",VLOOKUP(B39,'[1]UT Rate Study HCBS Survey'!$B$6:$FG$139,135,0))</f>
        <v>8576.81</v>
      </c>
      <c r="M39" s="37">
        <f t="shared" si="2"/>
        <v>0.23468305741159326</v>
      </c>
      <c r="N39" s="60">
        <f>IF(VLOOKUP(B39,'[1]UT Rate Study HCBS Survey'!$B$6:$FG$139,138,0)=0,"",VLOOKUP(B39,'[1]UT Rate Study HCBS Survey'!$B$6:$FG$139,138,0))</f>
        <v>2161154.37</v>
      </c>
      <c r="O39" s="60">
        <f>IF(VLOOKUP(B39,'[1]UT Rate Study HCBS Survey'!$B$6:$FG$139,141,0)=0,"",VLOOKUP(B39,'[1]UT Rate Study HCBS Survey'!$B$6:$FG$139,141,0))</f>
        <v>460881.42</v>
      </c>
      <c r="P39" s="37">
        <f t="shared" si="3"/>
        <v>0.21325705669049452</v>
      </c>
      <c r="Q39" s="36">
        <f t="shared" si="4"/>
        <v>32.284732936214176</v>
      </c>
      <c r="R39" s="9"/>
    </row>
    <row r="40" spans="1:18" x14ac:dyDescent="0.25">
      <c r="A40" s="43" t="s">
        <v>365</v>
      </c>
      <c r="B40" s="43" t="s">
        <v>120</v>
      </c>
      <c r="C40" s="60">
        <f>IF(VLOOKUP(B40,'[1]UT Rate Study HCBS Survey'!$B$6:$FG$139,129,0)=0,"",VLOOKUP(B40,'[1]UT Rate Study HCBS Survey'!$B$6:$FG$139,129,0))</f>
        <v>553465.92000000004</v>
      </c>
      <c r="D40" s="61">
        <f>IF(VLOOKUP(B40,'[1]UT Rate Study HCBS Survey'!$B$6:$FG$139,130,0)=0,"",VLOOKUP(B40,'[1]UT Rate Study HCBS Survey'!$B$6:$FG$139,130,0))</f>
        <v>26995</v>
      </c>
      <c r="E40" s="36">
        <f t="shared" si="0"/>
        <v>20.502534543433971</v>
      </c>
      <c r="F40" s="60">
        <f>IF(VLOOKUP(B40,'[1]UT Rate Study HCBS Survey'!$B$6:$FG$139,140,0)=0,"",VLOOKUP(B40,'[1]UT Rate Study HCBS Survey'!$B$6:$FG$139,140,0))</f>
        <v>80183.69</v>
      </c>
      <c r="G40" s="60">
        <f>IF(VLOOKUP(B40,'[1]UT Rate Study HCBS Survey'!$B$6:$FG$139,139,0)=0,"",VLOOKUP(B40,'[1]UT Rate Study HCBS Survey'!$B$6:$FG$139,139,0))</f>
        <v>1090516.55</v>
      </c>
      <c r="H40" s="37">
        <f t="shared" si="1"/>
        <v>7.3528173414699666E-2</v>
      </c>
      <c r="I40" s="60" t="str">
        <f>IF(VLOOKUP(B40,'[1]UT Rate Study HCBS Survey'!$B$6:$FG$139,133,0)=0,"",VLOOKUP(B40,'[1]UT Rate Study HCBS Survey'!$B$6:$FG$139,133,0))</f>
        <v/>
      </c>
      <c r="J40" s="60">
        <f>IF(VLOOKUP(B40,'[1]UT Rate Study HCBS Survey'!$B$6:$FG$139,131,0)=0,"",VLOOKUP(B40,'[1]UT Rate Study HCBS Survey'!$B$6:$FG$139,131,0))</f>
        <v>62844.53</v>
      </c>
      <c r="K40" s="60" t="str">
        <f>IF(VLOOKUP(B40,'[1]UT Rate Study HCBS Survey'!$B$6:$FG$139,134,0)=0,"",VLOOKUP(B40,'[1]UT Rate Study HCBS Survey'!$B$6:$FG$139,134,0))</f>
        <v/>
      </c>
      <c r="L40" s="60" t="str">
        <f>IF(VLOOKUP(B40,'[1]UT Rate Study HCBS Survey'!$B$6:$FG$139,135,0)=0,"",VLOOKUP(B40,'[1]UT Rate Study HCBS Survey'!$B$6:$FG$139,135,0))</f>
        <v/>
      </c>
      <c r="M40" s="37">
        <f t="shared" si="2"/>
        <v>0.1135472442458607</v>
      </c>
      <c r="N40" s="60">
        <f>IF(VLOOKUP(B40,'[1]UT Rate Study HCBS Survey'!$B$6:$FG$139,138,0)=0,"",VLOOKUP(B40,'[1]UT Rate Study HCBS Survey'!$B$6:$FG$139,138,0))</f>
        <v>1801334.06</v>
      </c>
      <c r="O40" s="60">
        <f>IF(VLOOKUP(B40,'[1]UT Rate Study HCBS Survey'!$B$6:$FG$139,141,0)=0,"",VLOOKUP(B40,'[1]UT Rate Study HCBS Survey'!$B$6:$FG$139,141,0))</f>
        <v>410435.56</v>
      </c>
      <c r="P40" s="37">
        <f t="shared" si="3"/>
        <v>0.22785088513787385</v>
      </c>
      <c r="Q40" s="36">
        <f t="shared" si="4"/>
        <v>31.51988947185767</v>
      </c>
      <c r="R40" s="9"/>
    </row>
    <row r="41" spans="1:18" x14ac:dyDescent="0.25">
      <c r="A41" s="43" t="s">
        <v>365</v>
      </c>
      <c r="B41" s="43" t="s">
        <v>121</v>
      </c>
      <c r="C41" s="60">
        <f>IF(VLOOKUP(B41,'[1]UT Rate Study HCBS Survey'!$B$6:$FG$139,129,0)=0,"",VLOOKUP(B41,'[1]UT Rate Study HCBS Survey'!$B$6:$FG$139,129,0))</f>
        <v>454064.33</v>
      </c>
      <c r="D41" s="61">
        <f>IF(VLOOKUP(B41,'[1]UT Rate Study HCBS Survey'!$B$6:$FG$139,130,0)=0,"",VLOOKUP(B41,'[1]UT Rate Study HCBS Survey'!$B$6:$FG$139,130,0))</f>
        <v>19513.7</v>
      </c>
      <c r="E41" s="36">
        <f t="shared" si="0"/>
        <v>23.269002290698332</v>
      </c>
      <c r="F41" s="60">
        <f>IF(VLOOKUP(B41,'[1]UT Rate Study HCBS Survey'!$B$6:$FG$139,140,0)=0,"",VLOOKUP(B41,'[1]UT Rate Study HCBS Survey'!$B$6:$FG$139,140,0))</f>
        <v>86668.5</v>
      </c>
      <c r="G41" s="60">
        <f>IF(VLOOKUP(B41,'[1]UT Rate Study HCBS Survey'!$B$6:$FG$139,139,0)=0,"",VLOOKUP(B41,'[1]UT Rate Study HCBS Survey'!$B$6:$FG$139,139,0))</f>
        <v>871224.8</v>
      </c>
      <c r="H41" s="37">
        <f t="shared" si="1"/>
        <v>9.9478917496379798E-2</v>
      </c>
      <c r="I41" s="60" t="str">
        <f>IF(VLOOKUP(B41,'[1]UT Rate Study HCBS Survey'!$B$6:$FG$139,133,0)=0,"",VLOOKUP(B41,'[1]UT Rate Study HCBS Survey'!$B$6:$FG$139,133,0))</f>
        <v/>
      </c>
      <c r="J41" s="60">
        <f>IF(VLOOKUP(B41,'[1]UT Rate Study HCBS Survey'!$B$6:$FG$139,131,0)=0,"",VLOOKUP(B41,'[1]UT Rate Study HCBS Survey'!$B$6:$FG$139,131,0))</f>
        <v>65369.96</v>
      </c>
      <c r="K41" s="60" t="str">
        <f>IF(VLOOKUP(B41,'[1]UT Rate Study HCBS Survey'!$B$6:$FG$139,134,0)=0,"",VLOOKUP(B41,'[1]UT Rate Study HCBS Survey'!$B$6:$FG$139,134,0))</f>
        <v/>
      </c>
      <c r="L41" s="60">
        <f>IF(VLOOKUP(B41,'[1]UT Rate Study HCBS Survey'!$B$6:$FG$139,135,0)=0,"",VLOOKUP(B41,'[1]UT Rate Study HCBS Survey'!$B$6:$FG$139,135,0))</f>
        <v>10533.18</v>
      </c>
      <c r="M41" s="37">
        <f t="shared" si="2"/>
        <v>0.16716384658535058</v>
      </c>
      <c r="N41" s="60">
        <f>IF(VLOOKUP(B41,'[1]UT Rate Study HCBS Survey'!$B$6:$FG$139,138,0)=0,"",VLOOKUP(B41,'[1]UT Rate Study HCBS Survey'!$B$6:$FG$139,138,0))</f>
        <v>1544894.28</v>
      </c>
      <c r="O41" s="60">
        <f>IF(VLOOKUP(B41,'[1]UT Rate Study HCBS Survey'!$B$6:$FG$139,141,0)=0,"",VLOOKUP(B41,'[1]UT Rate Study HCBS Survey'!$B$6:$FG$139,141,0))</f>
        <v>268802.84000000003</v>
      </c>
      <c r="P41" s="37">
        <f t="shared" si="3"/>
        <v>0.17399432665386011</v>
      </c>
      <c r="Q41" s="36">
        <f t="shared" si="4"/>
        <v>35.681974506927261</v>
      </c>
      <c r="R41" s="9"/>
    </row>
    <row r="42" spans="1:18" x14ac:dyDescent="0.25">
      <c r="A42" s="43" t="s">
        <v>365</v>
      </c>
      <c r="B42" s="43" t="s">
        <v>122</v>
      </c>
      <c r="C42" s="60">
        <f>IF(VLOOKUP(B42,'[1]UT Rate Study HCBS Survey'!$B$6:$FG$139,129,0)=0,"",VLOOKUP(B42,'[1]UT Rate Study HCBS Survey'!$B$6:$FG$139,129,0))</f>
        <v>279399.21999999997</v>
      </c>
      <c r="D42" s="61">
        <f>IF(VLOOKUP(B42,'[1]UT Rate Study HCBS Survey'!$B$6:$FG$139,130,0)=0,"",VLOOKUP(B42,'[1]UT Rate Study HCBS Survey'!$B$6:$FG$139,130,0))</f>
        <v>8480</v>
      </c>
      <c r="E42" s="36">
        <f t="shared" si="0"/>
        <v>32.948021226415094</v>
      </c>
      <c r="F42" s="60">
        <f>IF(VLOOKUP(B42,'[1]UT Rate Study HCBS Survey'!$B$6:$FG$139,140,0)=0,"",VLOOKUP(B42,'[1]UT Rate Study HCBS Survey'!$B$6:$FG$139,140,0))</f>
        <v>63940.180000000008</v>
      </c>
      <c r="G42" s="60">
        <f>IF(VLOOKUP(B42,'[1]UT Rate Study HCBS Survey'!$B$6:$FG$139,139,0)=0,"",VLOOKUP(B42,'[1]UT Rate Study HCBS Survey'!$B$6:$FG$139,139,0))</f>
        <v>633450.38</v>
      </c>
      <c r="H42" s="37">
        <f t="shared" si="1"/>
        <v>0.10093952426076373</v>
      </c>
      <c r="I42" s="60" t="str">
        <f>IF(VLOOKUP(B42,'[1]UT Rate Study HCBS Survey'!$B$6:$FG$139,133,0)=0,"",VLOOKUP(B42,'[1]UT Rate Study HCBS Survey'!$B$6:$FG$139,133,0))</f>
        <v/>
      </c>
      <c r="J42" s="60">
        <f>IF(VLOOKUP(B42,'[1]UT Rate Study HCBS Survey'!$B$6:$FG$139,131,0)=0,"",VLOOKUP(B42,'[1]UT Rate Study HCBS Survey'!$B$6:$FG$139,131,0))</f>
        <v>57088.66</v>
      </c>
      <c r="K42" s="60" t="str">
        <f>IF(VLOOKUP(B42,'[1]UT Rate Study HCBS Survey'!$B$6:$FG$139,134,0)=0,"",VLOOKUP(B42,'[1]UT Rate Study HCBS Survey'!$B$6:$FG$139,134,0))</f>
        <v/>
      </c>
      <c r="L42" s="60" t="str">
        <f>IF(VLOOKUP(B42,'[1]UT Rate Study HCBS Survey'!$B$6:$FG$139,135,0)=0,"",VLOOKUP(B42,'[1]UT Rate Study HCBS Survey'!$B$6:$FG$139,135,0))</f>
        <v/>
      </c>
      <c r="M42" s="37">
        <f t="shared" si="2"/>
        <v>0.20432648308753334</v>
      </c>
      <c r="N42" s="60">
        <f>IF(VLOOKUP(B42,'[1]UT Rate Study HCBS Survey'!$B$6:$FG$139,138,0)=0,"",VLOOKUP(B42,'[1]UT Rate Study HCBS Survey'!$B$6:$FG$139,138,0))</f>
        <v>1126399.1599999999</v>
      </c>
      <c r="O42" s="60">
        <f>IF(VLOOKUP(B42,'[1]UT Rate Study HCBS Survey'!$B$6:$FG$139,141,0)=0,"",VLOOKUP(B42,'[1]UT Rate Study HCBS Survey'!$B$6:$FG$139,141,0))</f>
        <v>329274.64</v>
      </c>
      <c r="P42" s="37">
        <f t="shared" si="3"/>
        <v>0.29232500492986879</v>
      </c>
      <c r="Q42" s="36">
        <f t="shared" si="4"/>
        <v>60.770738567593234</v>
      </c>
      <c r="R42" s="9"/>
    </row>
    <row r="43" spans="1:18" x14ac:dyDescent="0.25">
      <c r="A43" s="43" t="s">
        <v>365</v>
      </c>
      <c r="B43" s="43" t="s">
        <v>124</v>
      </c>
      <c r="C43" s="60">
        <f>IF(VLOOKUP(B43,'[1]UT Rate Study HCBS Survey'!$B$6:$FG$139,129,0)=0,"",VLOOKUP(B43,'[1]UT Rate Study HCBS Survey'!$B$6:$FG$139,129,0))</f>
        <v>399559.52</v>
      </c>
      <c r="D43" s="61">
        <f>IF(VLOOKUP(B43,'[1]UT Rate Study HCBS Survey'!$B$6:$FG$139,130,0)=0,"",VLOOKUP(B43,'[1]UT Rate Study HCBS Survey'!$B$6:$FG$139,130,0))</f>
        <v>12845</v>
      </c>
      <c r="E43" s="36">
        <f t="shared" si="0"/>
        <v>31.106229661346831</v>
      </c>
      <c r="F43" s="60">
        <f>IF(VLOOKUP(B43,'[1]UT Rate Study HCBS Survey'!$B$6:$FG$139,140,0)=0,"",VLOOKUP(B43,'[1]UT Rate Study HCBS Survey'!$B$6:$FG$139,140,0))</f>
        <v>69672.44</v>
      </c>
      <c r="G43" s="60">
        <f>IF(VLOOKUP(B43,'[1]UT Rate Study HCBS Survey'!$B$6:$FG$139,139,0)=0,"",VLOOKUP(B43,'[1]UT Rate Study HCBS Survey'!$B$6:$FG$139,139,0))</f>
        <v>741409.57</v>
      </c>
      <c r="H43" s="37">
        <f t="shared" si="1"/>
        <v>9.3972943996393263E-2</v>
      </c>
      <c r="I43" s="60" t="str">
        <f>IF(VLOOKUP(B43,'[1]UT Rate Study HCBS Survey'!$B$6:$FG$139,133,0)=0,"",VLOOKUP(B43,'[1]UT Rate Study HCBS Survey'!$B$6:$FG$139,133,0))</f>
        <v/>
      </c>
      <c r="J43" s="60">
        <f>IF(VLOOKUP(B43,'[1]UT Rate Study HCBS Survey'!$B$6:$FG$139,131,0)=0,"",VLOOKUP(B43,'[1]UT Rate Study HCBS Survey'!$B$6:$FG$139,131,0))</f>
        <v>58341.62</v>
      </c>
      <c r="K43" s="60" t="str">
        <f>IF(VLOOKUP(B43,'[1]UT Rate Study HCBS Survey'!$B$6:$FG$139,134,0)=0,"",VLOOKUP(B43,'[1]UT Rate Study HCBS Survey'!$B$6:$FG$139,134,0))</f>
        <v/>
      </c>
      <c r="L43" s="60" t="str">
        <f>IF(VLOOKUP(B43,'[1]UT Rate Study HCBS Survey'!$B$6:$FG$139,135,0)=0,"",VLOOKUP(B43,'[1]UT Rate Study HCBS Survey'!$B$6:$FG$139,135,0))</f>
        <v/>
      </c>
      <c r="M43" s="37">
        <f t="shared" si="2"/>
        <v>0.14601484154350772</v>
      </c>
      <c r="N43" s="60">
        <f>IF(VLOOKUP(B43,'[1]UT Rate Study HCBS Survey'!$B$6:$FG$139,138,0)=0,"",VLOOKUP(B43,'[1]UT Rate Study HCBS Survey'!$B$6:$FG$139,138,0))</f>
        <v>1330313.27</v>
      </c>
      <c r="O43" s="60">
        <f>IF(VLOOKUP(B43,'[1]UT Rate Study HCBS Survey'!$B$6:$FG$139,141,0)=0,"",VLOOKUP(B43,'[1]UT Rate Study HCBS Survey'!$B$6:$FG$139,141,0))</f>
        <v>330337.05</v>
      </c>
      <c r="P43" s="37">
        <f t="shared" si="3"/>
        <v>0.24831523329839444</v>
      </c>
      <c r="Q43" s="36">
        <f t="shared" si="4"/>
        <v>51.313192102482255</v>
      </c>
      <c r="R43" s="9"/>
    </row>
    <row r="44" spans="1:18" x14ac:dyDescent="0.25">
      <c r="A44" s="43" t="s">
        <v>365</v>
      </c>
      <c r="B44" s="43" t="s">
        <v>125</v>
      </c>
      <c r="C44" s="60">
        <f>IF(VLOOKUP(B44,'[1]UT Rate Study HCBS Survey'!$B$6:$FG$139,129,0)=0,"",VLOOKUP(B44,'[1]UT Rate Study HCBS Survey'!$B$6:$FG$139,129,0))</f>
        <v>550000</v>
      </c>
      <c r="D44" s="61">
        <f>IF(VLOOKUP(B44,'[1]UT Rate Study HCBS Survey'!$B$6:$FG$139,130,0)=0,"",VLOOKUP(B44,'[1]UT Rate Study HCBS Survey'!$B$6:$FG$139,130,0))</f>
        <v>33333</v>
      </c>
      <c r="E44" s="36">
        <f t="shared" si="0"/>
        <v>16.500165001650018</v>
      </c>
      <c r="F44" s="60" t="str">
        <f>IF(VLOOKUP(B44,'[1]UT Rate Study HCBS Survey'!$B$6:$FG$139,140,0)=0,"",VLOOKUP(B44,'[1]UT Rate Study HCBS Survey'!$B$6:$FG$139,140,0))</f>
        <v/>
      </c>
      <c r="G44" s="60">
        <f>IF(VLOOKUP(B44,'[1]UT Rate Study HCBS Survey'!$B$6:$FG$139,139,0)=0,"",VLOOKUP(B44,'[1]UT Rate Study HCBS Survey'!$B$6:$FG$139,139,0))</f>
        <v>893800</v>
      </c>
      <c r="H44" s="37" t="str">
        <f t="shared" si="1"/>
        <v/>
      </c>
      <c r="I44" s="60" t="str">
        <f>IF(VLOOKUP(B44,'[1]UT Rate Study HCBS Survey'!$B$6:$FG$139,133,0)=0,"",VLOOKUP(B44,'[1]UT Rate Study HCBS Survey'!$B$6:$FG$139,133,0))</f>
        <v/>
      </c>
      <c r="J44" s="60">
        <f>IF(VLOOKUP(B44,'[1]UT Rate Study HCBS Survey'!$B$6:$FG$139,131,0)=0,"",VLOOKUP(B44,'[1]UT Rate Study HCBS Survey'!$B$6:$FG$139,131,0))</f>
        <v>500000</v>
      </c>
      <c r="K44" s="60">
        <f>IF(VLOOKUP(B44,'[1]UT Rate Study HCBS Survey'!$B$6:$FG$139,134,0)=0,"",VLOOKUP(B44,'[1]UT Rate Study HCBS Survey'!$B$6:$FG$139,134,0))</f>
        <v>6000</v>
      </c>
      <c r="L44" s="60">
        <f>IF(VLOOKUP(B44,'[1]UT Rate Study HCBS Survey'!$B$6:$FG$139,135,0)=0,"",VLOOKUP(B44,'[1]UT Rate Study HCBS Survey'!$B$6:$FG$139,135,0))</f>
        <v>65000</v>
      </c>
      <c r="M44" s="37">
        <f t="shared" si="2"/>
        <v>1.0381818181818181</v>
      </c>
      <c r="N44" s="60">
        <f>IF(VLOOKUP(B44,'[1]UT Rate Study HCBS Survey'!$B$6:$FG$139,138,0)=0,"",VLOOKUP(B44,'[1]UT Rate Study HCBS Survey'!$B$6:$FG$139,138,0))</f>
        <v>90860</v>
      </c>
      <c r="O44" s="60" t="str">
        <f>IF(VLOOKUP(B44,'[1]UT Rate Study HCBS Survey'!$B$6:$FG$139,141,0)=0,"",VLOOKUP(B44,'[1]UT Rate Study HCBS Survey'!$B$6:$FG$139,141,0))</f>
        <v/>
      </c>
      <c r="P44" s="37" t="str">
        <f t="shared" si="3"/>
        <v/>
      </c>
      <c r="Q44" s="36">
        <f t="shared" ref="Q44:Q54" si="6">IFERROR(E44*(1+SUM(H44,M44,P44)),"")</f>
        <v>33.630336303363038</v>
      </c>
      <c r="R44" s="9"/>
    </row>
    <row r="45" spans="1:18" x14ac:dyDescent="0.25">
      <c r="A45" s="43" t="s">
        <v>365</v>
      </c>
      <c r="B45" s="43" t="s">
        <v>126</v>
      </c>
      <c r="C45" s="60">
        <f>IF(VLOOKUP(B45,'[1]UT Rate Study HCBS Survey'!$B$6:$FG$139,129,0)=0,"",VLOOKUP(B45,'[1]UT Rate Study HCBS Survey'!$B$6:$FG$139,129,0))</f>
        <v>15137.6</v>
      </c>
      <c r="D45" s="61">
        <f>IF(VLOOKUP(B45,'[1]UT Rate Study HCBS Survey'!$B$6:$FG$139,130,0)=0,"",VLOOKUP(B45,'[1]UT Rate Study HCBS Survey'!$B$6:$FG$139,130,0))</f>
        <v>535</v>
      </c>
      <c r="E45" s="36">
        <f t="shared" si="0"/>
        <v>28.294579439252338</v>
      </c>
      <c r="F45" s="60" t="str">
        <f>IF(VLOOKUP(B45,'[1]UT Rate Study HCBS Survey'!$B$6:$FG$139,140,0)=0,"",VLOOKUP(B45,'[1]UT Rate Study HCBS Survey'!$B$6:$FG$139,140,0))</f>
        <v/>
      </c>
      <c r="G45" s="60">
        <f>IF(VLOOKUP(B45,'[1]UT Rate Study HCBS Survey'!$B$6:$FG$139,139,0)=0,"",VLOOKUP(B45,'[1]UT Rate Study HCBS Survey'!$B$6:$FG$139,139,0))</f>
        <v>15137.6</v>
      </c>
      <c r="H45" s="37" t="str">
        <f t="shared" si="1"/>
        <v/>
      </c>
      <c r="I45" s="60" t="str">
        <f>IF(VLOOKUP(B45,'[1]UT Rate Study HCBS Survey'!$B$6:$FG$139,133,0)=0,"",VLOOKUP(B45,'[1]UT Rate Study HCBS Survey'!$B$6:$FG$139,133,0))</f>
        <v/>
      </c>
      <c r="J45" s="60" t="str">
        <f>IF(VLOOKUP(B45,'[1]UT Rate Study HCBS Survey'!$B$6:$FG$139,131,0)=0,"",VLOOKUP(B45,'[1]UT Rate Study HCBS Survey'!$B$6:$FG$139,131,0))</f>
        <v/>
      </c>
      <c r="K45" s="60" t="str">
        <f>IF(VLOOKUP(B45,'[1]UT Rate Study HCBS Survey'!$B$6:$FG$139,134,0)=0,"",VLOOKUP(B45,'[1]UT Rate Study HCBS Survey'!$B$6:$FG$139,134,0))</f>
        <v/>
      </c>
      <c r="L45" s="60">
        <f>IF(VLOOKUP(B45,'[1]UT Rate Study HCBS Survey'!$B$6:$FG$139,135,0)=0,"",VLOOKUP(B45,'[1]UT Rate Study HCBS Survey'!$B$6:$FG$139,135,0))</f>
        <v>109.6</v>
      </c>
      <c r="M45" s="37">
        <f t="shared" si="2"/>
        <v>7.2402494450903706E-3</v>
      </c>
      <c r="N45" s="60">
        <f>IF(VLOOKUP(B45,'[1]UT Rate Study HCBS Survey'!$B$6:$FG$139,138,0)=0,"",VLOOKUP(B45,'[1]UT Rate Study HCBS Survey'!$B$6:$FG$139,138,0))</f>
        <v>31788.78</v>
      </c>
      <c r="O45" s="60">
        <f>IF(VLOOKUP(B45,'[1]UT Rate Study HCBS Survey'!$B$6:$FG$139,141,0)=0,"",VLOOKUP(B45,'[1]UT Rate Study HCBS Survey'!$B$6:$FG$139,141,0))</f>
        <v>2680.1</v>
      </c>
      <c r="P45" s="37">
        <f t="shared" si="3"/>
        <v>8.4309621193389611E-2</v>
      </c>
      <c r="Q45" s="36">
        <f>IFERROR((E45+(E45*M45))/(1-P45),"")</f>
        <v>31.123445120695543</v>
      </c>
      <c r="R45" s="9"/>
    </row>
    <row r="46" spans="1:18" x14ac:dyDescent="0.25">
      <c r="A46" s="43" t="s">
        <v>365</v>
      </c>
      <c r="B46" s="43" t="s">
        <v>127</v>
      </c>
      <c r="C46" s="60">
        <f>IF(VLOOKUP(B46,'[1]UT Rate Study HCBS Survey'!$B$6:$FG$139,129,0)=0,"",VLOOKUP(B46,'[1]UT Rate Study HCBS Survey'!$B$6:$FG$139,129,0))</f>
        <v>997546.44</v>
      </c>
      <c r="D46" s="61">
        <f>IF(VLOOKUP(B46,'[1]UT Rate Study HCBS Survey'!$B$6:$FG$139,130,0)=0,"",VLOOKUP(B46,'[1]UT Rate Study HCBS Survey'!$B$6:$FG$139,130,0))</f>
        <v>41196.269999999997</v>
      </c>
      <c r="E46" s="36">
        <f t="shared" si="0"/>
        <v>24.214484466676232</v>
      </c>
      <c r="F46" s="60">
        <f>IF(VLOOKUP(B46,'[1]UT Rate Study HCBS Survey'!$B$6:$FG$139,140,0)=0,"",VLOOKUP(B46,'[1]UT Rate Study HCBS Survey'!$B$6:$FG$139,140,0))</f>
        <v>87010.33</v>
      </c>
      <c r="G46" s="60">
        <f>IF(VLOOKUP(B46,'[1]UT Rate Study HCBS Survey'!$B$6:$FG$139,139,0)=0,"",VLOOKUP(B46,'[1]UT Rate Study HCBS Survey'!$B$6:$FG$139,139,0))</f>
        <v>2226246.29</v>
      </c>
      <c r="H46" s="37">
        <f t="shared" si="1"/>
        <v>3.9083874228488885E-2</v>
      </c>
      <c r="I46" s="60">
        <f>IF(VLOOKUP(B46,'[1]UT Rate Study HCBS Survey'!$B$6:$FG$139,133,0)=0,"",VLOOKUP(B46,'[1]UT Rate Study HCBS Survey'!$B$6:$FG$139,133,0))</f>
        <v>1586.57</v>
      </c>
      <c r="J46" s="60">
        <f>IF(VLOOKUP(B46,'[1]UT Rate Study HCBS Survey'!$B$6:$FG$139,131,0)=0,"",VLOOKUP(B46,'[1]UT Rate Study HCBS Survey'!$B$6:$FG$139,131,0))</f>
        <v>251356.98</v>
      </c>
      <c r="K46" s="60">
        <f>IF(VLOOKUP(B46,'[1]UT Rate Study HCBS Survey'!$B$6:$FG$139,134,0)=0,"",VLOOKUP(B46,'[1]UT Rate Study HCBS Survey'!$B$6:$FG$139,134,0))</f>
        <v>9167.52</v>
      </c>
      <c r="L46" s="60">
        <f>IF(VLOOKUP(B46,'[1]UT Rate Study HCBS Survey'!$B$6:$FG$139,135,0)=0,"",VLOOKUP(B46,'[1]UT Rate Study HCBS Survey'!$B$6:$FG$139,135,0))</f>
        <v>720219.19</v>
      </c>
      <c r="M46" s="37">
        <f t="shared" si="2"/>
        <v>0.98159472280872795</v>
      </c>
      <c r="N46" s="60">
        <f>IF(VLOOKUP(B46,'[1]UT Rate Study HCBS Survey'!$B$6:$FG$139,138,0)=0,"",VLOOKUP(B46,'[1]UT Rate Study HCBS Survey'!$B$6:$FG$139,138,0))</f>
        <v>3853004.72</v>
      </c>
      <c r="O46" s="60">
        <f>IF(VLOOKUP(B46,'[1]UT Rate Study HCBS Survey'!$B$6:$FG$139,141,0)=0,"",VLOOKUP(B46,'[1]UT Rate Study HCBS Survey'!$B$6:$FG$139,141,0))</f>
        <v>1003726.07</v>
      </c>
      <c r="P46" s="37">
        <f t="shared" si="3"/>
        <v>0.26050476003569489</v>
      </c>
      <c r="Q46" s="36">
        <f t="shared" si="4"/>
        <v>66.166335975961942</v>
      </c>
      <c r="R46" s="9"/>
    </row>
    <row r="47" spans="1:18" x14ac:dyDescent="0.25">
      <c r="A47" s="43" t="s">
        <v>365</v>
      </c>
      <c r="B47" s="43" t="s">
        <v>128</v>
      </c>
      <c r="C47" s="60">
        <f>IF(VLOOKUP(B47,'[1]UT Rate Study HCBS Survey'!$B$6:$FG$139,129,0)=0,"",VLOOKUP(B47,'[1]UT Rate Study HCBS Survey'!$B$6:$FG$139,129,0))</f>
        <v>640631.77</v>
      </c>
      <c r="D47" s="61">
        <f>IF(VLOOKUP(B47,'[1]UT Rate Study HCBS Survey'!$B$6:$FG$139,130,0)=0,"",VLOOKUP(B47,'[1]UT Rate Study HCBS Survey'!$B$6:$FG$139,130,0))</f>
        <v>39898.089999999997</v>
      </c>
      <c r="E47" s="36">
        <f t="shared" si="0"/>
        <v>16.056702714340464</v>
      </c>
      <c r="F47" s="60">
        <f>IF(VLOOKUP(B47,'[1]UT Rate Study HCBS Survey'!$B$6:$FG$139,140,0)=0,"",VLOOKUP(B47,'[1]UT Rate Study HCBS Survey'!$B$6:$FG$139,140,0))</f>
        <v>51629.75</v>
      </c>
      <c r="G47" s="60">
        <f>IF(VLOOKUP(B47,'[1]UT Rate Study HCBS Survey'!$B$6:$FG$139,139,0)=0,"",VLOOKUP(B47,'[1]UT Rate Study HCBS Survey'!$B$6:$FG$139,139,0))</f>
        <v>1627730.92</v>
      </c>
      <c r="H47" s="37">
        <f t="shared" si="1"/>
        <v>3.1718848223390633E-2</v>
      </c>
      <c r="I47" s="60" t="str">
        <f>IF(VLOOKUP(B47,'[1]UT Rate Study HCBS Survey'!$B$6:$FG$139,133,0)=0,"",VLOOKUP(B47,'[1]UT Rate Study HCBS Survey'!$B$6:$FG$139,133,0))</f>
        <v/>
      </c>
      <c r="J47" s="60">
        <f>IF(VLOOKUP(B47,'[1]UT Rate Study HCBS Survey'!$B$6:$FG$139,131,0)=0,"",VLOOKUP(B47,'[1]UT Rate Study HCBS Survey'!$B$6:$FG$139,131,0))</f>
        <v>190990.63</v>
      </c>
      <c r="K47" s="60">
        <f>IF(VLOOKUP(B47,'[1]UT Rate Study HCBS Survey'!$B$6:$FG$139,134,0)=0,"",VLOOKUP(B47,'[1]UT Rate Study HCBS Survey'!$B$6:$FG$139,134,0))</f>
        <v>233.66</v>
      </c>
      <c r="L47" s="60">
        <f>IF(VLOOKUP(B47,'[1]UT Rate Study HCBS Survey'!$B$6:$FG$139,135,0)=0,"",VLOOKUP(B47,'[1]UT Rate Study HCBS Survey'!$B$6:$FG$139,135,0))</f>
        <v>22273.96</v>
      </c>
      <c r="M47" s="37">
        <f t="shared" si="2"/>
        <v>0.33326203912740698</v>
      </c>
      <c r="N47" s="60">
        <f>IF(VLOOKUP(B47,'[1]UT Rate Study HCBS Survey'!$B$6:$FG$139,138,0)=0,"",VLOOKUP(B47,'[1]UT Rate Study HCBS Survey'!$B$6:$FG$139,138,0))</f>
        <v>2720157.63</v>
      </c>
      <c r="O47" s="60">
        <f>IF(VLOOKUP(B47,'[1]UT Rate Study HCBS Survey'!$B$6:$FG$139,141,0)=0,"",VLOOKUP(B47,'[1]UT Rate Study HCBS Survey'!$B$6:$FG$139,141,0))</f>
        <v>646841.04</v>
      </c>
      <c r="P47" s="37">
        <f t="shared" si="3"/>
        <v>0.23779542511291893</v>
      </c>
      <c r="Q47" s="36">
        <f t="shared" si="4"/>
        <v>28.754868497339281</v>
      </c>
      <c r="R47" s="9"/>
    </row>
    <row r="48" spans="1:18" x14ac:dyDescent="0.25">
      <c r="A48" s="43" t="s">
        <v>365</v>
      </c>
      <c r="B48" s="43" t="s">
        <v>129</v>
      </c>
      <c r="C48" s="60">
        <f>IF(VLOOKUP(B48,'[1]UT Rate Study HCBS Survey'!$B$6:$FG$139,129,0)=0,"",VLOOKUP(B48,'[1]UT Rate Study HCBS Survey'!$B$6:$FG$139,129,0))</f>
        <v>720110.65</v>
      </c>
      <c r="D48" s="61">
        <f>IF(VLOOKUP(B48,'[1]UT Rate Study HCBS Survey'!$B$6:$FG$139,130,0)=0,"",VLOOKUP(B48,'[1]UT Rate Study HCBS Survey'!$B$6:$FG$139,130,0))</f>
        <v>27675.14</v>
      </c>
      <c r="E48" s="36">
        <f t="shared" si="0"/>
        <v>26.020126727452869</v>
      </c>
      <c r="F48" s="60">
        <f>IF(VLOOKUP(B48,'[1]UT Rate Study HCBS Survey'!$B$6:$FG$139,140,0)=0,"",VLOOKUP(B48,'[1]UT Rate Study HCBS Survey'!$B$6:$FG$139,140,0))</f>
        <v>173849.45</v>
      </c>
      <c r="G48" s="60">
        <f>IF(VLOOKUP(B48,'[1]UT Rate Study HCBS Survey'!$B$6:$FG$139,139,0)=0,"",VLOOKUP(B48,'[1]UT Rate Study HCBS Survey'!$B$6:$FG$139,139,0))</f>
        <v>1297299.1299999999</v>
      </c>
      <c r="H48" s="37">
        <f t="shared" si="1"/>
        <v>0.13400876172637224</v>
      </c>
      <c r="I48" s="60" t="str">
        <f>IF(VLOOKUP(B48,'[1]UT Rate Study HCBS Survey'!$B$6:$FG$139,133,0)=0,"",VLOOKUP(B48,'[1]UT Rate Study HCBS Survey'!$B$6:$FG$139,133,0))</f>
        <v/>
      </c>
      <c r="J48" s="60">
        <f>IF(VLOOKUP(B48,'[1]UT Rate Study HCBS Survey'!$B$6:$FG$139,131,0)=0,"",VLOOKUP(B48,'[1]UT Rate Study HCBS Survey'!$B$6:$FG$139,131,0))</f>
        <v>92786.79</v>
      </c>
      <c r="K48" s="60" t="str">
        <f>IF(VLOOKUP(B48,'[1]UT Rate Study HCBS Survey'!$B$6:$FG$139,134,0)=0,"",VLOOKUP(B48,'[1]UT Rate Study HCBS Survey'!$B$6:$FG$139,134,0))</f>
        <v/>
      </c>
      <c r="L48" s="60">
        <f>IF(VLOOKUP(B48,'[1]UT Rate Study HCBS Survey'!$B$6:$FG$139,135,0)=0,"",VLOOKUP(B48,'[1]UT Rate Study HCBS Survey'!$B$6:$FG$139,135,0))</f>
        <v>21763.8</v>
      </c>
      <c r="M48" s="37">
        <f t="shared" si="2"/>
        <v>0.15907359514819006</v>
      </c>
      <c r="N48" s="60">
        <f>IF(VLOOKUP(B48,'[1]UT Rate Study HCBS Survey'!$B$6:$FG$139,138,0)=0,"",VLOOKUP(B48,'[1]UT Rate Study HCBS Survey'!$B$6:$FG$139,138,0))</f>
        <v>2391629.2999999998</v>
      </c>
      <c r="O48" s="60">
        <f>IF(VLOOKUP(B48,'[1]UT Rate Study HCBS Survey'!$B$6:$FG$139,141,0)=0,"",VLOOKUP(B48,'[1]UT Rate Study HCBS Survey'!$B$6:$FG$139,141,0))</f>
        <v>426510.5</v>
      </c>
      <c r="P48" s="37">
        <f t="shared" si="3"/>
        <v>0.1783347026230194</v>
      </c>
      <c r="Q48" s="36">
        <f t="shared" si="4"/>
        <v>40.948749937862672</v>
      </c>
      <c r="R48" s="9"/>
    </row>
    <row r="49" spans="1:18" x14ac:dyDescent="0.25">
      <c r="A49" s="43" t="s">
        <v>365</v>
      </c>
      <c r="B49" s="43" t="s">
        <v>130</v>
      </c>
      <c r="C49" s="60">
        <f>IF(VLOOKUP(B49,'[1]UT Rate Study HCBS Survey'!$B$6:$FG$139,129,0)=0,"",VLOOKUP(B49,'[1]UT Rate Study HCBS Survey'!$B$6:$FG$139,129,0))</f>
        <v>359700.12</v>
      </c>
      <c r="D49" s="61">
        <f>IF(VLOOKUP(B49,'[1]UT Rate Study HCBS Survey'!$B$6:$FG$139,130,0)=0,"",VLOOKUP(B49,'[1]UT Rate Study HCBS Survey'!$B$6:$FG$139,130,0))</f>
        <v>21615.34</v>
      </c>
      <c r="E49" s="36">
        <f t="shared" si="0"/>
        <v>16.640965166404971</v>
      </c>
      <c r="F49" s="60">
        <f>IF(VLOOKUP(B49,'[1]UT Rate Study HCBS Survey'!$B$6:$FG$139,140,0)=0,"",VLOOKUP(B49,'[1]UT Rate Study HCBS Survey'!$B$6:$FG$139,140,0))</f>
        <v>49645.91</v>
      </c>
      <c r="G49" s="60">
        <f>IF(VLOOKUP(B49,'[1]UT Rate Study HCBS Survey'!$B$6:$FG$139,139,0)=0,"",VLOOKUP(B49,'[1]UT Rate Study HCBS Survey'!$B$6:$FG$139,139,0))</f>
        <v>1030341.82</v>
      </c>
      <c r="H49" s="37">
        <f t="shared" si="1"/>
        <v>4.8183922108490179E-2</v>
      </c>
      <c r="I49" s="60">
        <f>IF(VLOOKUP(B49,'[1]UT Rate Study HCBS Survey'!$B$6:$FG$139,133,0)=0,"",VLOOKUP(B49,'[1]UT Rate Study HCBS Survey'!$B$6:$FG$139,133,0))</f>
        <v>803.65</v>
      </c>
      <c r="J49" s="60">
        <f>IF(VLOOKUP(B49,'[1]UT Rate Study HCBS Survey'!$B$6:$FG$139,131,0)=0,"",VLOOKUP(B49,'[1]UT Rate Study HCBS Survey'!$B$6:$FG$139,131,0))</f>
        <v>141638.07999999999</v>
      </c>
      <c r="K49" s="60">
        <f>IF(VLOOKUP(B49,'[1]UT Rate Study HCBS Survey'!$B$6:$FG$139,134,0)=0,"",VLOOKUP(B49,'[1]UT Rate Study HCBS Survey'!$B$6:$FG$139,134,0))</f>
        <v>1324.9</v>
      </c>
      <c r="L49" s="60">
        <f>IF(VLOOKUP(B49,'[1]UT Rate Study HCBS Survey'!$B$6:$FG$139,135,0)=0,"",VLOOKUP(B49,'[1]UT Rate Study HCBS Survey'!$B$6:$FG$139,135,0))</f>
        <v>15273.6</v>
      </c>
      <c r="M49" s="37">
        <f t="shared" si="2"/>
        <v>0.43893183142023723</v>
      </c>
      <c r="N49" s="60">
        <f>IF(VLOOKUP(B49,'[1]UT Rate Study HCBS Survey'!$B$6:$FG$139,138,0)=0,"",VLOOKUP(B49,'[1]UT Rate Study HCBS Survey'!$B$6:$FG$139,138,0))</f>
        <v>1858474.96</v>
      </c>
      <c r="O49" s="60">
        <f>IF(VLOOKUP(B49,'[1]UT Rate Study HCBS Survey'!$B$6:$FG$139,141,0)=0,"",VLOOKUP(B49,'[1]UT Rate Study HCBS Survey'!$B$6:$FG$139,141,0))</f>
        <v>495050.53</v>
      </c>
      <c r="P49" s="37">
        <f t="shared" si="3"/>
        <v>0.26637460318539885</v>
      </c>
      <c r="Q49" s="36">
        <f t="shared" si="4"/>
        <v>33.732531016967513</v>
      </c>
      <c r="R49" s="9"/>
    </row>
    <row r="50" spans="1:18" x14ac:dyDescent="0.25">
      <c r="A50" s="43" t="s">
        <v>365</v>
      </c>
      <c r="B50" s="43" t="s">
        <v>131</v>
      </c>
      <c r="C50" s="60">
        <f>IF(VLOOKUP(B50,'[1]UT Rate Study HCBS Survey'!$B$6:$FG$139,129,0)=0,"",VLOOKUP(B50,'[1]UT Rate Study HCBS Survey'!$B$6:$FG$139,129,0))</f>
        <v>790756.71</v>
      </c>
      <c r="D50" s="61">
        <f>IF(VLOOKUP(B50,'[1]UT Rate Study HCBS Survey'!$B$6:$FG$139,130,0)=0,"",VLOOKUP(B50,'[1]UT Rate Study HCBS Survey'!$B$6:$FG$139,130,0))</f>
        <v>29451.25</v>
      </c>
      <c r="E50" s="36">
        <f t="shared" si="0"/>
        <v>26.849682441322525</v>
      </c>
      <c r="F50" s="60">
        <f>IF(VLOOKUP(B50,'[1]UT Rate Study HCBS Survey'!$B$6:$FG$139,140,0)=0,"",VLOOKUP(B50,'[1]UT Rate Study HCBS Survey'!$B$6:$FG$139,140,0))</f>
        <v>158927.47</v>
      </c>
      <c r="G50" s="60">
        <f>IF(VLOOKUP(B50,'[1]UT Rate Study HCBS Survey'!$B$6:$FG$139,139,0)=0,"",VLOOKUP(B50,'[1]UT Rate Study HCBS Survey'!$B$6:$FG$139,139,0))</f>
        <v>1362163.26</v>
      </c>
      <c r="H50" s="37">
        <f t="shared" si="1"/>
        <v>0.11667285021327033</v>
      </c>
      <c r="I50" s="60" t="str">
        <f>IF(VLOOKUP(B50,'[1]UT Rate Study HCBS Survey'!$B$6:$FG$139,133,0)=0,"",VLOOKUP(B50,'[1]UT Rate Study HCBS Survey'!$B$6:$FG$139,133,0))</f>
        <v/>
      </c>
      <c r="J50" s="60">
        <f>IF(VLOOKUP(B50,'[1]UT Rate Study HCBS Survey'!$B$6:$FG$139,131,0)=0,"",VLOOKUP(B50,'[1]UT Rate Study HCBS Survey'!$B$6:$FG$139,131,0))</f>
        <v>86600.08</v>
      </c>
      <c r="K50" s="60" t="str">
        <f>IF(VLOOKUP(B50,'[1]UT Rate Study HCBS Survey'!$B$6:$FG$139,134,0)=0,"",VLOOKUP(B50,'[1]UT Rate Study HCBS Survey'!$B$6:$FG$139,134,0))</f>
        <v/>
      </c>
      <c r="L50" s="60">
        <f>IF(VLOOKUP(B50,'[1]UT Rate Study HCBS Survey'!$B$6:$FG$139,135,0)=0,"",VLOOKUP(B50,'[1]UT Rate Study HCBS Survey'!$B$6:$FG$139,135,0))</f>
        <v>20340.580000000002</v>
      </c>
      <c r="M50" s="37">
        <f t="shared" si="2"/>
        <v>0.13523838450893449</v>
      </c>
      <c r="N50" s="60">
        <f>IF(VLOOKUP(B50,'[1]UT Rate Study HCBS Survey'!$B$6:$FG$139,138,0)=0,"",VLOOKUP(B50,'[1]UT Rate Study HCBS Survey'!$B$6:$FG$139,138,0))</f>
        <v>2436794.29</v>
      </c>
      <c r="O50" s="60">
        <f>IF(VLOOKUP(B50,'[1]UT Rate Study HCBS Survey'!$B$6:$FG$139,141,0)=0,"",VLOOKUP(B50,'[1]UT Rate Study HCBS Survey'!$B$6:$FG$139,141,0))</f>
        <v>425782.95</v>
      </c>
      <c r="P50" s="37">
        <f t="shared" si="3"/>
        <v>0.17473077302721354</v>
      </c>
      <c r="Q50" s="36">
        <f t="shared" si="4"/>
        <v>40.730246564886876</v>
      </c>
      <c r="R50" s="9"/>
    </row>
    <row r="51" spans="1:18" x14ac:dyDescent="0.25">
      <c r="A51" s="43" t="s">
        <v>365</v>
      </c>
      <c r="B51" s="43" t="s">
        <v>132</v>
      </c>
      <c r="C51" s="60">
        <f>IF(VLOOKUP(B51,'[1]UT Rate Study HCBS Survey'!$B$6:$FG$139,129,0)=0,"",VLOOKUP(B51,'[1]UT Rate Study HCBS Survey'!$B$6:$FG$139,129,0))</f>
        <v>942409.81</v>
      </c>
      <c r="D51" s="61">
        <f>IF(VLOOKUP(B51,'[1]UT Rate Study HCBS Survey'!$B$6:$FG$139,130,0)=0,"",VLOOKUP(B51,'[1]UT Rate Study HCBS Survey'!$B$6:$FG$139,130,0))</f>
        <v>57894.1</v>
      </c>
      <c r="E51" s="36">
        <f t="shared" si="0"/>
        <v>16.278166687106285</v>
      </c>
      <c r="F51" s="60">
        <f>IF(VLOOKUP(B51,'[1]UT Rate Study HCBS Survey'!$B$6:$FG$139,140,0)=0,"",VLOOKUP(B51,'[1]UT Rate Study HCBS Survey'!$B$6:$FG$139,140,0))</f>
        <v>82953.509999999995</v>
      </c>
      <c r="G51" s="60">
        <f>IF(VLOOKUP(B51,'[1]UT Rate Study HCBS Survey'!$B$6:$FG$139,139,0)=0,"",VLOOKUP(B51,'[1]UT Rate Study HCBS Survey'!$B$6:$FG$139,139,0))</f>
        <v>1984442.66</v>
      </c>
      <c r="H51" s="37">
        <f t="shared" si="1"/>
        <v>4.1801918328040782E-2</v>
      </c>
      <c r="I51" s="60" t="str">
        <f>IF(VLOOKUP(B51,'[1]UT Rate Study HCBS Survey'!$B$6:$FG$139,133,0)=0,"",VLOOKUP(B51,'[1]UT Rate Study HCBS Survey'!$B$6:$FG$139,133,0))</f>
        <v/>
      </c>
      <c r="J51" s="60">
        <f>IF(VLOOKUP(B51,'[1]UT Rate Study HCBS Survey'!$B$6:$FG$139,131,0)=0,"",VLOOKUP(B51,'[1]UT Rate Study HCBS Survey'!$B$6:$FG$139,131,0))</f>
        <v>157664.13</v>
      </c>
      <c r="K51" s="60">
        <f>IF(VLOOKUP(B51,'[1]UT Rate Study HCBS Survey'!$B$6:$FG$139,134,0)=0,"",VLOOKUP(B51,'[1]UT Rate Study HCBS Survey'!$B$6:$FG$139,134,0))</f>
        <v>1123.8499999999999</v>
      </c>
      <c r="L51" s="60">
        <f>IF(VLOOKUP(B51,'[1]UT Rate Study HCBS Survey'!$B$6:$FG$139,135,0)=0,"",VLOOKUP(B51,'[1]UT Rate Study HCBS Survey'!$B$6:$FG$139,135,0))</f>
        <v>36729.14</v>
      </c>
      <c r="M51" s="37">
        <f t="shared" si="2"/>
        <v>0.20746507297074929</v>
      </c>
      <c r="N51" s="60">
        <f>IF(VLOOKUP(B51,'[1]UT Rate Study HCBS Survey'!$B$6:$FG$139,138,0)=0,"",VLOOKUP(B51,'[1]UT Rate Study HCBS Survey'!$B$6:$FG$139,138,0))</f>
        <v>3509129.51</v>
      </c>
      <c r="O51" s="60">
        <f>IF(VLOOKUP(B51,'[1]UT Rate Study HCBS Survey'!$B$6:$FG$139,141,0)=0,"",VLOOKUP(B51,'[1]UT Rate Study HCBS Survey'!$B$6:$FG$139,141,0))</f>
        <v>868069.22</v>
      </c>
      <c r="P51" s="37">
        <f t="shared" si="3"/>
        <v>0.24737451767632254</v>
      </c>
      <c r="Q51" s="36">
        <f t="shared" si="4"/>
        <v>27.019781815354168</v>
      </c>
      <c r="R51" s="9"/>
    </row>
    <row r="52" spans="1:18" x14ac:dyDescent="0.25">
      <c r="A52" s="43" t="s">
        <v>365</v>
      </c>
      <c r="B52" s="43" t="s">
        <v>133</v>
      </c>
      <c r="C52" s="60">
        <f>IF(VLOOKUP(B52,'[1]UT Rate Study HCBS Survey'!$B$6:$FG$139,129,0)=0,"",VLOOKUP(B52,'[1]UT Rate Study HCBS Survey'!$B$6:$FG$139,129,0))</f>
        <v>942011.82</v>
      </c>
      <c r="D52" s="61">
        <f>IF(VLOOKUP(B52,'[1]UT Rate Study HCBS Survey'!$B$6:$FG$139,130,0)=0,"",VLOOKUP(B52,'[1]UT Rate Study HCBS Survey'!$B$6:$FG$139,130,0))</f>
        <v>55842.25</v>
      </c>
      <c r="E52" s="36">
        <f t="shared" si="0"/>
        <v>16.869159462593288</v>
      </c>
      <c r="F52" s="60">
        <f>IF(VLOOKUP(B52,'[1]UT Rate Study HCBS Survey'!$B$6:$FG$139,140,0)=0,"",VLOOKUP(B52,'[1]UT Rate Study HCBS Survey'!$B$6:$FG$139,140,0))</f>
        <v>100721.29</v>
      </c>
      <c r="G52" s="60">
        <f>IF(VLOOKUP(B52,'[1]UT Rate Study HCBS Survey'!$B$6:$FG$139,139,0)=0,"",VLOOKUP(B52,'[1]UT Rate Study HCBS Survey'!$B$6:$FG$139,139,0))</f>
        <v>2073281.22</v>
      </c>
      <c r="H52" s="37">
        <f t="shared" si="1"/>
        <v>4.8580621397805356E-2</v>
      </c>
      <c r="I52" s="60">
        <f>IF(VLOOKUP(B52,'[1]UT Rate Study HCBS Survey'!$B$6:$FG$139,133,0)=0,"",VLOOKUP(B52,'[1]UT Rate Study HCBS Survey'!$B$6:$FG$139,133,0))</f>
        <v>3447.68</v>
      </c>
      <c r="J52" s="60">
        <f>IF(VLOOKUP(B52,'[1]UT Rate Study HCBS Survey'!$B$6:$FG$139,131,0)=0,"",VLOOKUP(B52,'[1]UT Rate Study HCBS Survey'!$B$6:$FG$139,131,0))</f>
        <v>175508.38</v>
      </c>
      <c r="K52" s="60">
        <f>IF(VLOOKUP(B52,'[1]UT Rate Study HCBS Survey'!$B$6:$FG$139,134,0)=0,"",VLOOKUP(B52,'[1]UT Rate Study HCBS Survey'!$B$6:$FG$139,134,0))</f>
        <v>2525.98</v>
      </c>
      <c r="L52" s="60">
        <f>IF(VLOOKUP(B52,'[1]UT Rate Study HCBS Survey'!$B$6:$FG$139,135,0)=0,"",VLOOKUP(B52,'[1]UT Rate Study HCBS Survey'!$B$6:$FG$139,135,0))</f>
        <v>24558.73</v>
      </c>
      <c r="M52" s="37">
        <f t="shared" si="2"/>
        <v>0.21428002997484294</v>
      </c>
      <c r="N52" s="60">
        <f>IF(VLOOKUP(B52,'[1]UT Rate Study HCBS Survey'!$B$6:$FG$139,138,0)=0,"",VLOOKUP(B52,'[1]UT Rate Study HCBS Survey'!$B$6:$FG$139,138,0))</f>
        <v>3396974.67</v>
      </c>
      <c r="O52" s="60">
        <f>IF(VLOOKUP(B52,'[1]UT Rate Study HCBS Survey'!$B$6:$FG$139,141,0)=0,"",VLOOKUP(B52,'[1]UT Rate Study HCBS Survey'!$B$6:$FG$139,141,0))</f>
        <v>711088.99</v>
      </c>
      <c r="P52" s="37">
        <f t="shared" si="3"/>
        <v>0.20933008311186496</v>
      </c>
      <c r="Q52" s="36">
        <f t="shared" si="4"/>
        <v>26.943478248020487</v>
      </c>
      <c r="R52" s="9"/>
    </row>
    <row r="53" spans="1:18" x14ac:dyDescent="0.25">
      <c r="A53" s="43" t="s">
        <v>365</v>
      </c>
      <c r="B53" s="43" t="s">
        <v>134</v>
      </c>
      <c r="C53" s="60">
        <f>IF(VLOOKUP(B53,'[1]UT Rate Study HCBS Survey'!$B$6:$FG$139,129,0)=0,"",VLOOKUP(B53,'[1]UT Rate Study HCBS Survey'!$B$6:$FG$139,129,0))</f>
        <v>713683.39</v>
      </c>
      <c r="D53" s="61">
        <f>IF(VLOOKUP(B53,'[1]UT Rate Study HCBS Survey'!$B$6:$FG$139,130,0)=0,"",VLOOKUP(B53,'[1]UT Rate Study HCBS Survey'!$B$6:$FG$139,130,0))</f>
        <v>27261.73</v>
      </c>
      <c r="E53" s="36">
        <f t="shared" si="0"/>
        <v>26.178947190805573</v>
      </c>
      <c r="F53" s="60">
        <f>IF(VLOOKUP(B53,'[1]UT Rate Study HCBS Survey'!$B$6:$FG$139,140,0)=0,"",VLOOKUP(B53,'[1]UT Rate Study HCBS Survey'!$B$6:$FG$139,140,0))</f>
        <v>109488.91</v>
      </c>
      <c r="G53" s="60">
        <f>IF(VLOOKUP(B53,'[1]UT Rate Study HCBS Survey'!$B$6:$FG$139,139,0)=0,"",VLOOKUP(B53,'[1]UT Rate Study HCBS Survey'!$B$6:$FG$139,139,0))</f>
        <v>1178126.6299999999</v>
      </c>
      <c r="H53" s="37">
        <f t="shared" si="1"/>
        <v>9.2934755239341305E-2</v>
      </c>
      <c r="I53" s="60" t="str">
        <f>IF(VLOOKUP(B53,'[1]UT Rate Study HCBS Survey'!$B$6:$FG$139,133,0)=0,"",VLOOKUP(B53,'[1]UT Rate Study HCBS Survey'!$B$6:$FG$139,133,0))</f>
        <v/>
      </c>
      <c r="J53" s="60">
        <f>IF(VLOOKUP(B53,'[1]UT Rate Study HCBS Survey'!$B$6:$FG$139,131,0)=0,"",VLOOKUP(B53,'[1]UT Rate Study HCBS Survey'!$B$6:$FG$139,131,0))</f>
        <v>72644.899999999994</v>
      </c>
      <c r="K53" s="60" t="str">
        <f>IF(VLOOKUP(B53,'[1]UT Rate Study HCBS Survey'!$B$6:$FG$139,134,0)=0,"",VLOOKUP(B53,'[1]UT Rate Study HCBS Survey'!$B$6:$FG$139,134,0))</f>
        <v/>
      </c>
      <c r="L53" s="60">
        <f>IF(VLOOKUP(B53,'[1]UT Rate Study HCBS Survey'!$B$6:$FG$139,135,0)=0,"",VLOOKUP(B53,'[1]UT Rate Study HCBS Survey'!$B$6:$FG$139,135,0))</f>
        <v>10999.7</v>
      </c>
      <c r="M53" s="37">
        <f t="shared" si="2"/>
        <v>0.11720127044010369</v>
      </c>
      <c r="N53" s="60">
        <f>IF(VLOOKUP(B53,'[1]UT Rate Study HCBS Survey'!$B$6:$FG$139,138,0)=0,"",VLOOKUP(B53,'[1]UT Rate Study HCBS Survey'!$B$6:$FG$139,138,0))</f>
        <v>1961269.06</v>
      </c>
      <c r="O53" s="60">
        <f>IF(VLOOKUP(B53,'[1]UT Rate Study HCBS Survey'!$B$6:$FG$139,141,0)=0,"",VLOOKUP(B53,'[1]UT Rate Study HCBS Survey'!$B$6:$FG$139,141,0))</f>
        <v>368037.14</v>
      </c>
      <c r="P53" s="37">
        <f t="shared" si="3"/>
        <v>0.18765254982404098</v>
      </c>
      <c r="Q53" s="36">
        <f t="shared" si="4"/>
        <v>38.998198496334844</v>
      </c>
      <c r="R53" s="9"/>
    </row>
    <row r="54" spans="1:18" x14ac:dyDescent="0.25">
      <c r="A54" s="43" t="s">
        <v>365</v>
      </c>
      <c r="B54" s="43" t="s">
        <v>135</v>
      </c>
      <c r="C54" s="60">
        <f>IF(VLOOKUP(B54,'[1]UT Rate Study HCBS Survey'!$B$6:$FG$139,129,0)=0,"",VLOOKUP(B54,'[1]UT Rate Study HCBS Survey'!$B$6:$FG$139,129,0))</f>
        <v>30000</v>
      </c>
      <c r="D54" s="61">
        <f>IF(VLOOKUP(B54,'[1]UT Rate Study HCBS Survey'!$B$6:$FG$139,130,0)=0,"",VLOOKUP(B54,'[1]UT Rate Study HCBS Survey'!$B$6:$FG$139,130,0))</f>
        <v>3000</v>
      </c>
      <c r="E54" s="36">
        <f t="shared" si="0"/>
        <v>10</v>
      </c>
      <c r="F54" s="60" t="str">
        <f>IF(VLOOKUP(B54,'[1]UT Rate Study HCBS Survey'!$B$6:$FG$139,140,0)=0,"",VLOOKUP(B54,'[1]UT Rate Study HCBS Survey'!$B$6:$FG$139,140,0))</f>
        <v/>
      </c>
      <c r="G54" s="60" t="str">
        <f>IF(VLOOKUP(B54,'[1]UT Rate Study HCBS Survey'!$B$6:$FG$139,139,0)=0,"",VLOOKUP(B54,'[1]UT Rate Study HCBS Survey'!$B$6:$FG$139,139,0))</f>
        <v/>
      </c>
      <c r="H54" s="37" t="str">
        <f t="shared" si="1"/>
        <v/>
      </c>
      <c r="I54" s="60" t="str">
        <f>IF(VLOOKUP(B54,'[1]UT Rate Study HCBS Survey'!$B$6:$FG$139,133,0)=0,"",VLOOKUP(B54,'[1]UT Rate Study HCBS Survey'!$B$6:$FG$139,133,0))</f>
        <v/>
      </c>
      <c r="J54" s="60">
        <f>IF(VLOOKUP(B54,'[1]UT Rate Study HCBS Survey'!$B$6:$FG$139,131,0)=0,"",VLOOKUP(B54,'[1]UT Rate Study HCBS Survey'!$B$6:$FG$139,131,0))</f>
        <v>30000</v>
      </c>
      <c r="K54" s="60" t="str">
        <f>IF(VLOOKUP(B54,'[1]UT Rate Study HCBS Survey'!$B$6:$FG$139,134,0)=0,"",VLOOKUP(B54,'[1]UT Rate Study HCBS Survey'!$B$6:$FG$139,134,0))</f>
        <v/>
      </c>
      <c r="L54" s="60">
        <f>IF(VLOOKUP(B54,'[1]UT Rate Study HCBS Survey'!$B$6:$FG$139,135,0)=0,"",VLOOKUP(B54,'[1]UT Rate Study HCBS Survey'!$B$6:$FG$139,135,0))</f>
        <v>1200</v>
      </c>
      <c r="M54" s="37">
        <f t="shared" si="2"/>
        <v>1.04</v>
      </c>
      <c r="N54" s="60" t="str">
        <f>IF(VLOOKUP(B54,'[1]UT Rate Study HCBS Survey'!$B$6:$FG$139,138,0)=0,"",VLOOKUP(B54,'[1]UT Rate Study HCBS Survey'!$B$6:$FG$139,138,0))</f>
        <v/>
      </c>
      <c r="O54" s="60" t="str">
        <f>IF(VLOOKUP(B54,'[1]UT Rate Study HCBS Survey'!$B$6:$FG$139,141,0)=0,"",VLOOKUP(B54,'[1]UT Rate Study HCBS Survey'!$B$6:$FG$139,141,0))</f>
        <v/>
      </c>
      <c r="P54" s="37" t="str">
        <f t="shared" si="3"/>
        <v/>
      </c>
      <c r="Q54" s="36">
        <f t="shared" si="6"/>
        <v>20.399999999999999</v>
      </c>
      <c r="R54" s="9"/>
    </row>
    <row r="55" spans="1:18" x14ac:dyDescent="0.25">
      <c r="A55" s="43" t="s">
        <v>365</v>
      </c>
      <c r="B55" s="43" t="s">
        <v>136</v>
      </c>
      <c r="C55" s="60">
        <f>IF(VLOOKUP(B55,'[1]UT Rate Study HCBS Survey'!$B$6:$FG$139,129,0)=0,"",VLOOKUP(B55,'[1]UT Rate Study HCBS Survey'!$B$6:$FG$139,129,0))</f>
        <v>697073.79</v>
      </c>
      <c r="D55" s="61">
        <f>IF(VLOOKUP(B55,'[1]UT Rate Study HCBS Survey'!$B$6:$FG$139,130,0)=0,"",VLOOKUP(B55,'[1]UT Rate Study HCBS Survey'!$B$6:$FG$139,130,0))</f>
        <v>22604.97</v>
      </c>
      <c r="E55" s="36">
        <f t="shared" si="0"/>
        <v>30.837191555662315</v>
      </c>
      <c r="F55" s="60">
        <f>IF(VLOOKUP(B55,'[1]UT Rate Study HCBS Survey'!$B$6:$FG$139,140,0)=0,"",VLOOKUP(B55,'[1]UT Rate Study HCBS Survey'!$B$6:$FG$139,140,0))</f>
        <v>201041.1</v>
      </c>
      <c r="G55" s="60">
        <f>IF(VLOOKUP(B55,'[1]UT Rate Study HCBS Survey'!$B$6:$FG$139,139,0)=0,"",VLOOKUP(B55,'[1]UT Rate Study HCBS Survey'!$B$6:$FG$139,139,0))</f>
        <v>1445917.35</v>
      </c>
      <c r="H55" s="37">
        <f t="shared" si="1"/>
        <v>0.13904051984714064</v>
      </c>
      <c r="I55" s="60" t="str">
        <f>IF(VLOOKUP(B55,'[1]UT Rate Study HCBS Survey'!$B$6:$FG$139,133,0)=0,"",VLOOKUP(B55,'[1]UT Rate Study HCBS Survey'!$B$6:$FG$139,133,0))</f>
        <v/>
      </c>
      <c r="J55" s="60">
        <f>IF(VLOOKUP(B55,'[1]UT Rate Study HCBS Survey'!$B$6:$FG$139,131,0)=0,"",VLOOKUP(B55,'[1]UT Rate Study HCBS Survey'!$B$6:$FG$139,131,0))</f>
        <v>125629.42</v>
      </c>
      <c r="K55" s="60" t="str">
        <f>IF(VLOOKUP(B55,'[1]UT Rate Study HCBS Survey'!$B$6:$FG$139,134,0)=0,"",VLOOKUP(B55,'[1]UT Rate Study HCBS Survey'!$B$6:$FG$139,134,0))</f>
        <v/>
      </c>
      <c r="L55" s="60">
        <f>IF(VLOOKUP(B55,'[1]UT Rate Study HCBS Survey'!$B$6:$FG$139,135,0)=0,"",VLOOKUP(B55,'[1]UT Rate Study HCBS Survey'!$B$6:$FG$139,135,0))</f>
        <v>19504.439999999999</v>
      </c>
      <c r="M55" s="37">
        <f t="shared" si="2"/>
        <v>0.20820444274629804</v>
      </c>
      <c r="N55" s="60">
        <f>IF(VLOOKUP(B55,'[1]UT Rate Study HCBS Survey'!$B$6:$FG$139,138,0)=0,"",VLOOKUP(B55,'[1]UT Rate Study HCBS Survey'!$B$6:$FG$139,138,0))</f>
        <v>2953512.86</v>
      </c>
      <c r="O55" s="60">
        <f>IF(VLOOKUP(B55,'[1]UT Rate Study HCBS Survey'!$B$6:$FG$139,141,0)=0,"",VLOOKUP(B55,'[1]UT Rate Study HCBS Survey'!$B$6:$FG$139,141,0))</f>
        <v>517411.91</v>
      </c>
      <c r="P55" s="37">
        <f t="shared" si="3"/>
        <v>0.17518525719234551</v>
      </c>
      <c r="Q55" s="36">
        <f t="shared" si="4"/>
        <v>50.36919059239375</v>
      </c>
      <c r="R55" s="9"/>
    </row>
    <row r="56" spans="1:18" x14ac:dyDescent="0.25">
      <c r="A56" s="43" t="s">
        <v>365</v>
      </c>
      <c r="B56" s="43" t="s">
        <v>137</v>
      </c>
      <c r="C56" s="60">
        <f>IF(VLOOKUP(B56,'[1]UT Rate Study HCBS Survey'!$B$6:$FG$139,129,0)=0,"",VLOOKUP(B56,'[1]UT Rate Study HCBS Survey'!$B$6:$FG$139,129,0))</f>
        <v>433842.35</v>
      </c>
      <c r="D56" s="61">
        <f>IF(VLOOKUP(B56,'[1]UT Rate Study HCBS Survey'!$B$6:$FG$139,130,0)=0,"",VLOOKUP(B56,'[1]UT Rate Study HCBS Survey'!$B$6:$FG$139,130,0))</f>
        <v>10817.85</v>
      </c>
      <c r="E56" s="36">
        <f t="shared" si="0"/>
        <v>40.104304459758637</v>
      </c>
      <c r="F56" s="60">
        <f>IF(VLOOKUP(B56,'[1]UT Rate Study HCBS Survey'!$B$6:$FG$139,140,0)=0,"",VLOOKUP(B56,'[1]UT Rate Study HCBS Survey'!$B$6:$FG$139,140,0))</f>
        <v>91950.98</v>
      </c>
      <c r="G56" s="60">
        <f>IF(VLOOKUP(B56,'[1]UT Rate Study HCBS Survey'!$B$6:$FG$139,139,0)=0,"",VLOOKUP(B56,'[1]UT Rate Study HCBS Survey'!$B$6:$FG$139,139,0))</f>
        <v>833793.89</v>
      </c>
      <c r="H56" s="37">
        <f t="shared" si="1"/>
        <v>0.11028022764714671</v>
      </c>
      <c r="I56" s="60" t="str">
        <f>IF(VLOOKUP(B56,'[1]UT Rate Study HCBS Survey'!$B$6:$FG$139,133,0)=0,"",VLOOKUP(B56,'[1]UT Rate Study HCBS Survey'!$B$6:$FG$139,133,0))</f>
        <v/>
      </c>
      <c r="J56" s="60">
        <f>IF(VLOOKUP(B56,'[1]UT Rate Study HCBS Survey'!$B$6:$FG$139,131,0)=0,"",VLOOKUP(B56,'[1]UT Rate Study HCBS Survey'!$B$6:$FG$139,131,0))</f>
        <v>53507.75</v>
      </c>
      <c r="K56" s="60" t="str">
        <f>IF(VLOOKUP(B56,'[1]UT Rate Study HCBS Survey'!$B$6:$FG$139,134,0)=0,"",VLOOKUP(B56,'[1]UT Rate Study HCBS Survey'!$B$6:$FG$139,134,0))</f>
        <v/>
      </c>
      <c r="L56" s="60" t="str">
        <f>IF(VLOOKUP(B56,'[1]UT Rate Study HCBS Survey'!$B$6:$FG$139,135,0)=0,"",VLOOKUP(B56,'[1]UT Rate Study HCBS Survey'!$B$6:$FG$139,135,0))</f>
        <v/>
      </c>
      <c r="M56" s="37">
        <f t="shared" si="2"/>
        <v>0.12333454767613167</v>
      </c>
      <c r="N56" s="60">
        <f>IF(VLOOKUP(B56,'[1]UT Rate Study HCBS Survey'!$B$6:$FG$139,138,0)=0,"",VLOOKUP(B56,'[1]UT Rate Study HCBS Survey'!$B$6:$FG$139,138,0))</f>
        <v>1474452.08</v>
      </c>
      <c r="O56" s="60">
        <f>IF(VLOOKUP(B56,'[1]UT Rate Study HCBS Survey'!$B$6:$FG$139,141,0)=0,"",VLOOKUP(B56,'[1]UT Rate Study HCBS Survey'!$B$6:$FG$139,141,0))</f>
        <v>333758.78000000003</v>
      </c>
      <c r="P56" s="37">
        <f t="shared" si="3"/>
        <v>0.2263612256561095</v>
      </c>
      <c r="Q56" s="36">
        <f t="shared" si="4"/>
        <v>63.94878873228518</v>
      </c>
      <c r="R56" s="9"/>
    </row>
    <row r="57" spans="1:18" x14ac:dyDescent="0.25">
      <c r="A57" s="43" t="s">
        <v>365</v>
      </c>
      <c r="B57" s="43" t="s">
        <v>138</v>
      </c>
      <c r="C57" s="60">
        <f>IF(VLOOKUP(B57,'[1]UT Rate Study HCBS Survey'!$B$6:$FG$139,129,0)=0,"",VLOOKUP(B57,'[1]UT Rate Study HCBS Survey'!$B$6:$FG$139,129,0))</f>
        <v>229125.34</v>
      </c>
      <c r="D57" s="61">
        <f>IF(VLOOKUP(B57,'[1]UT Rate Study HCBS Survey'!$B$6:$FG$139,130,0)=0,"",VLOOKUP(B57,'[1]UT Rate Study HCBS Survey'!$B$6:$FG$139,130,0))</f>
        <v>7392.94</v>
      </c>
      <c r="E57" s="36">
        <f t="shared" si="0"/>
        <v>30.992452258506088</v>
      </c>
      <c r="F57" s="60">
        <f>IF(VLOOKUP(B57,'[1]UT Rate Study HCBS Survey'!$B$6:$FG$139,140,0)=0,"",VLOOKUP(B57,'[1]UT Rate Study HCBS Survey'!$B$6:$FG$139,140,0))</f>
        <v>35173.910000000003</v>
      </c>
      <c r="G57" s="60">
        <f>IF(VLOOKUP(B57,'[1]UT Rate Study HCBS Survey'!$B$6:$FG$139,139,0)=0,"",VLOOKUP(B57,'[1]UT Rate Study HCBS Survey'!$B$6:$FG$139,139,0))</f>
        <v>407422.29</v>
      </c>
      <c r="H57" s="37">
        <f t="shared" si="1"/>
        <v>8.6332807171644946E-2</v>
      </c>
      <c r="I57" s="60" t="str">
        <f>IF(VLOOKUP(B57,'[1]UT Rate Study HCBS Survey'!$B$6:$FG$139,133,0)=0,"",VLOOKUP(B57,'[1]UT Rate Study HCBS Survey'!$B$6:$FG$139,133,0))</f>
        <v/>
      </c>
      <c r="J57" s="60">
        <f>IF(VLOOKUP(B57,'[1]UT Rate Study HCBS Survey'!$B$6:$FG$139,131,0)=0,"",VLOOKUP(B57,'[1]UT Rate Study HCBS Survey'!$B$6:$FG$139,131,0))</f>
        <v>58124.89</v>
      </c>
      <c r="K57" s="60" t="str">
        <f>IF(VLOOKUP(B57,'[1]UT Rate Study HCBS Survey'!$B$6:$FG$139,134,0)=0,"",VLOOKUP(B57,'[1]UT Rate Study HCBS Survey'!$B$6:$FG$139,134,0))</f>
        <v/>
      </c>
      <c r="L57" s="60" t="str">
        <f>IF(VLOOKUP(B57,'[1]UT Rate Study HCBS Survey'!$B$6:$FG$139,135,0)=0,"",VLOOKUP(B57,'[1]UT Rate Study HCBS Survey'!$B$6:$FG$139,135,0))</f>
        <v/>
      </c>
      <c r="M57" s="37">
        <f t="shared" si="2"/>
        <v>0.2536816311980159</v>
      </c>
      <c r="N57" s="60">
        <f>IF(VLOOKUP(B57,'[1]UT Rate Study HCBS Survey'!$B$6:$FG$139,138,0)=0,"",VLOOKUP(B57,'[1]UT Rate Study HCBS Survey'!$B$6:$FG$139,138,0))</f>
        <v>741896.02</v>
      </c>
      <c r="O57" s="60">
        <f>IF(VLOOKUP(B57,'[1]UT Rate Study HCBS Survey'!$B$6:$FG$139,141,0)=0,"",VLOOKUP(B57,'[1]UT Rate Study HCBS Survey'!$B$6:$FG$139,141,0))</f>
        <v>146837.62</v>
      </c>
      <c r="P57" s="37">
        <f t="shared" si="3"/>
        <v>0.19792210234528551</v>
      </c>
      <c r="Q57" s="36">
        <f t="shared" si="4"/>
        <v>51.778429038271426</v>
      </c>
      <c r="R57" s="9"/>
    </row>
    <row r="58" spans="1:18" x14ac:dyDescent="0.25">
      <c r="A58" s="43" t="s">
        <v>365</v>
      </c>
      <c r="B58" s="43" t="s">
        <v>139</v>
      </c>
      <c r="C58" s="60">
        <f>IF(VLOOKUP(B58,'[1]UT Rate Study HCBS Survey'!$B$6:$FG$139,129,0)=0,"",VLOOKUP(B58,'[1]UT Rate Study HCBS Survey'!$B$6:$FG$139,129,0))</f>
        <v>711371.68</v>
      </c>
      <c r="D58" s="61">
        <f>IF(VLOOKUP(B58,'[1]UT Rate Study HCBS Survey'!$B$6:$FG$139,130,0)=0,"",VLOOKUP(B58,'[1]UT Rate Study HCBS Survey'!$B$6:$FG$139,130,0))</f>
        <v>18361</v>
      </c>
      <c r="E58" s="36">
        <f t="shared" si="0"/>
        <v>38.743623985621703</v>
      </c>
      <c r="F58" s="60">
        <f>IF(VLOOKUP(B58,'[1]UT Rate Study HCBS Survey'!$B$6:$FG$139,140,0)=0,"",VLOOKUP(B58,'[1]UT Rate Study HCBS Survey'!$B$6:$FG$139,140,0))</f>
        <v>99599.45</v>
      </c>
      <c r="G58" s="60">
        <f>IF(VLOOKUP(B58,'[1]UT Rate Study HCBS Survey'!$B$6:$FG$139,139,0)=0,"",VLOOKUP(B58,'[1]UT Rate Study HCBS Survey'!$B$6:$FG$139,139,0))</f>
        <v>1311985.74</v>
      </c>
      <c r="H58" s="37">
        <f t="shared" si="1"/>
        <v>7.5915040052188368E-2</v>
      </c>
      <c r="I58" s="60" t="str">
        <f>IF(VLOOKUP(B58,'[1]UT Rate Study HCBS Survey'!$B$6:$FG$139,133,0)=0,"",VLOOKUP(B58,'[1]UT Rate Study HCBS Survey'!$B$6:$FG$139,133,0))</f>
        <v/>
      </c>
      <c r="J58" s="60">
        <f>IF(VLOOKUP(B58,'[1]UT Rate Study HCBS Survey'!$B$6:$FG$139,131,0)=0,"",VLOOKUP(B58,'[1]UT Rate Study HCBS Survey'!$B$6:$FG$139,131,0))</f>
        <v>58605.9</v>
      </c>
      <c r="K58" s="60">
        <f>IF(VLOOKUP(B58,'[1]UT Rate Study HCBS Survey'!$B$6:$FG$139,134,0)=0,"",VLOOKUP(B58,'[1]UT Rate Study HCBS Survey'!$B$6:$FG$139,134,0))</f>
        <v>602.08000000000004</v>
      </c>
      <c r="L58" s="60" t="str">
        <f>IF(VLOOKUP(B58,'[1]UT Rate Study HCBS Survey'!$B$6:$FG$139,135,0)=0,"",VLOOKUP(B58,'[1]UT Rate Study HCBS Survey'!$B$6:$FG$139,135,0))</f>
        <v/>
      </c>
      <c r="M58" s="37">
        <f t="shared" si="2"/>
        <v>8.3230724056937433E-2</v>
      </c>
      <c r="N58" s="60">
        <f>IF(VLOOKUP(B58,'[1]UT Rate Study HCBS Survey'!$B$6:$FG$139,138,0)=0,"",VLOOKUP(B58,'[1]UT Rate Study HCBS Survey'!$B$6:$FG$139,138,0))</f>
        <v>2079631.5</v>
      </c>
      <c r="O58" s="60">
        <f>IF(VLOOKUP(B58,'[1]UT Rate Study HCBS Survey'!$B$6:$FG$139,141,0)=0,"",VLOOKUP(B58,'[1]UT Rate Study HCBS Survey'!$B$6:$FG$139,141,0))</f>
        <v>342694.35</v>
      </c>
      <c r="P58" s="37">
        <f t="shared" si="3"/>
        <v>0.16478609311313086</v>
      </c>
      <c r="Q58" s="36">
        <f t="shared" si="4"/>
        <v>53.770066876117255</v>
      </c>
      <c r="R58" s="9"/>
    </row>
    <row r="59" spans="1:18" x14ac:dyDescent="0.25">
      <c r="A59" s="43" t="s">
        <v>365</v>
      </c>
      <c r="B59" s="43" t="s">
        <v>140</v>
      </c>
      <c r="C59" s="60">
        <f>IF(VLOOKUP(B59,'[1]UT Rate Study HCBS Survey'!$B$6:$FG$139,129,0)=0,"",VLOOKUP(B59,'[1]UT Rate Study HCBS Survey'!$B$6:$FG$139,129,0))</f>
        <v>8827.0499999999993</v>
      </c>
      <c r="D59" s="61">
        <f>IF(VLOOKUP(B59,'[1]UT Rate Study HCBS Survey'!$B$6:$FG$139,130,0)=0,"",VLOOKUP(B59,'[1]UT Rate Study HCBS Survey'!$B$6:$FG$139,130,0))</f>
        <v>480</v>
      </c>
      <c r="E59" s="36">
        <f t="shared" si="0"/>
        <v>18.389687499999997</v>
      </c>
      <c r="F59" s="60">
        <f>IF(VLOOKUP(B59,'[1]UT Rate Study HCBS Survey'!$B$6:$FG$139,140,0)=0,"",VLOOKUP(B59,'[1]UT Rate Study HCBS Survey'!$B$6:$FG$139,140,0))</f>
        <v>54375.39</v>
      </c>
      <c r="G59" s="60">
        <f>IF(VLOOKUP(B59,'[1]UT Rate Study HCBS Survey'!$B$6:$FG$139,139,0)=0,"",VLOOKUP(B59,'[1]UT Rate Study HCBS Survey'!$B$6:$FG$139,139,0))</f>
        <v>580843.03</v>
      </c>
      <c r="H59" s="37">
        <f t="shared" si="1"/>
        <v>9.3614603587478695E-2</v>
      </c>
      <c r="I59" s="60" t="str">
        <f>IF(VLOOKUP(B59,'[1]UT Rate Study HCBS Survey'!$B$6:$FG$139,133,0)=0,"",VLOOKUP(B59,'[1]UT Rate Study HCBS Survey'!$B$6:$FG$139,133,0))</f>
        <v/>
      </c>
      <c r="J59" s="60">
        <f>IF(VLOOKUP(B59,'[1]UT Rate Study HCBS Survey'!$B$6:$FG$139,131,0)=0,"",VLOOKUP(B59,'[1]UT Rate Study HCBS Survey'!$B$6:$FG$139,131,0))</f>
        <v>21000</v>
      </c>
      <c r="K59" s="60" t="str">
        <f>IF(VLOOKUP(B59,'[1]UT Rate Study HCBS Survey'!$B$6:$FG$139,134,0)=0,"",VLOOKUP(B59,'[1]UT Rate Study HCBS Survey'!$B$6:$FG$139,134,0))</f>
        <v/>
      </c>
      <c r="L59" s="60" t="str">
        <f>IF(VLOOKUP(B59,'[1]UT Rate Study HCBS Survey'!$B$6:$FG$139,135,0)=0,"",VLOOKUP(B59,'[1]UT Rate Study HCBS Survey'!$B$6:$FG$139,135,0))</f>
        <v/>
      </c>
      <c r="M59" s="37">
        <f t="shared" si="2"/>
        <v>2.37905075874726</v>
      </c>
      <c r="N59" s="60">
        <f>IF(VLOOKUP(B59,'[1]UT Rate Study HCBS Survey'!$B$6:$FG$139,138,0)=0,"",VLOOKUP(B59,'[1]UT Rate Study HCBS Survey'!$B$6:$FG$139,138,0))</f>
        <v>727228.91</v>
      </c>
      <c r="O59" s="60">
        <f>IF(VLOOKUP(B59,'[1]UT Rate Study HCBS Survey'!$B$6:$FG$139,141,0)=0,"",VLOOKUP(B59,'[1]UT Rate Study HCBS Survey'!$B$6:$FG$139,141,0))</f>
        <v>62183.44</v>
      </c>
      <c r="P59" s="37">
        <f t="shared" si="3"/>
        <v>8.550738171286397E-2</v>
      </c>
      <c r="Q59" s="36">
        <f t="shared" si="4"/>
        <v>69.832418029818044</v>
      </c>
      <c r="R59" s="9"/>
    </row>
    <row r="60" spans="1:18" x14ac:dyDescent="0.25">
      <c r="A60" s="43" t="s">
        <v>365</v>
      </c>
      <c r="B60" s="43" t="s">
        <v>141</v>
      </c>
      <c r="C60" s="60">
        <f>IF(VLOOKUP(B60,'[1]UT Rate Study HCBS Survey'!$B$6:$FG$139,129,0)=0,"",VLOOKUP(B60,'[1]UT Rate Study HCBS Survey'!$B$6:$FG$139,129,0))</f>
        <v>13875</v>
      </c>
      <c r="D60" s="61">
        <f>IF(VLOOKUP(B60,'[1]UT Rate Study HCBS Survey'!$B$6:$FG$139,130,0)=0,"",VLOOKUP(B60,'[1]UT Rate Study HCBS Survey'!$B$6:$FG$139,130,0))</f>
        <v>555</v>
      </c>
      <c r="E60" s="36">
        <f t="shared" ref="E60:E120" si="7">IF(IFERROR(C60/D60,0)=0,"",IFERROR(C60/D60,0))</f>
        <v>25</v>
      </c>
      <c r="F60" s="60" t="str">
        <f>IF(VLOOKUP(B60,'[1]UT Rate Study HCBS Survey'!$B$6:$FG$139,140,0)=0,"",VLOOKUP(B60,'[1]UT Rate Study HCBS Survey'!$B$6:$FG$139,140,0))</f>
        <v/>
      </c>
      <c r="G60" s="60">
        <f>IF(VLOOKUP(B60,'[1]UT Rate Study HCBS Survey'!$B$6:$FG$139,139,0)=0,"",VLOOKUP(B60,'[1]UT Rate Study HCBS Survey'!$B$6:$FG$139,139,0))</f>
        <v>28012.6</v>
      </c>
      <c r="H60" s="37" t="str">
        <f t="shared" ref="H60:H120" si="8">IF(IFERROR(F60/G60,0)=0,"",IFERROR(F60/G60,0))</f>
        <v/>
      </c>
      <c r="I60" s="60">
        <f>IF(VLOOKUP(B60,'[1]UT Rate Study HCBS Survey'!$B$6:$FG$139,133,0)=0,"",VLOOKUP(B60,'[1]UT Rate Study HCBS Survey'!$B$6:$FG$139,133,0))</f>
        <v>2925</v>
      </c>
      <c r="J60" s="60">
        <f>IF(VLOOKUP(B60,'[1]UT Rate Study HCBS Survey'!$B$6:$FG$139,131,0)=0,"",VLOOKUP(B60,'[1]UT Rate Study HCBS Survey'!$B$6:$FG$139,131,0))</f>
        <v>11212.6</v>
      </c>
      <c r="K60" s="60" t="str">
        <f>IF(VLOOKUP(B60,'[1]UT Rate Study HCBS Survey'!$B$6:$FG$139,134,0)=0,"",VLOOKUP(B60,'[1]UT Rate Study HCBS Survey'!$B$6:$FG$139,134,0))</f>
        <v/>
      </c>
      <c r="L60" s="60" t="str">
        <f>IF(VLOOKUP(B60,'[1]UT Rate Study HCBS Survey'!$B$6:$FG$139,135,0)=0,"",VLOOKUP(B60,'[1]UT Rate Study HCBS Survey'!$B$6:$FG$139,135,0))</f>
        <v/>
      </c>
      <c r="M60" s="37">
        <f t="shared" ref="M60:M120" si="9">IF(IFERROR(SUM(J60:L60)/SUM(C60,I60),0)=0,"",IFERROR(SUM(J60:L60)/SUM(C60,I60),0))</f>
        <v>0.66741666666666666</v>
      </c>
      <c r="N60" s="60">
        <f>IF(VLOOKUP(B60,'[1]UT Rate Study HCBS Survey'!$B$6:$FG$139,138,0)=0,"",VLOOKUP(B60,'[1]UT Rate Study HCBS Survey'!$B$6:$FG$139,138,0))</f>
        <v>82182.720000000001</v>
      </c>
      <c r="O60" s="60">
        <f>IF(VLOOKUP(B60,'[1]UT Rate Study HCBS Survey'!$B$6:$FG$139,141,0)=0,"",VLOOKUP(B60,'[1]UT Rate Study HCBS Survey'!$B$6:$FG$139,141,0))</f>
        <v>29804.58</v>
      </c>
      <c r="P60" s="37">
        <f t="shared" ref="P60:P120" si="10">IF(IFERROR(O60/N60,0)=0,"",IFERROR(O60/N60,0))</f>
        <v>0.36266236989965778</v>
      </c>
      <c r="Q60" s="36">
        <f>IFERROR((E60+(E60*M60))/(1-P60),"")</f>
        <v>65.405547543307208</v>
      </c>
      <c r="R60" s="9"/>
    </row>
    <row r="61" spans="1:18" x14ac:dyDescent="0.25">
      <c r="A61" s="43" t="s">
        <v>365</v>
      </c>
      <c r="B61" s="43" t="s">
        <v>142</v>
      </c>
      <c r="C61" s="60">
        <f>IF(VLOOKUP(B61,'[1]UT Rate Study HCBS Survey'!$B$6:$FG$139,129,0)=0,"",VLOOKUP(B61,'[1]UT Rate Study HCBS Survey'!$B$6:$FG$139,129,0))</f>
        <v>653155.35</v>
      </c>
      <c r="D61" s="61">
        <f>IF(VLOOKUP(B61,'[1]UT Rate Study HCBS Survey'!$B$6:$FG$139,130,0)=0,"",VLOOKUP(B61,'[1]UT Rate Study HCBS Survey'!$B$6:$FG$139,130,0))</f>
        <v>19069.48</v>
      </c>
      <c r="E61" s="36">
        <f t="shared" si="7"/>
        <v>34.251345605648396</v>
      </c>
      <c r="F61" s="60">
        <f>IF(VLOOKUP(B61,'[1]UT Rate Study HCBS Survey'!$B$6:$FG$139,140,0)=0,"",VLOOKUP(B61,'[1]UT Rate Study HCBS Survey'!$B$6:$FG$139,140,0))</f>
        <v>108247.07</v>
      </c>
      <c r="G61" s="60">
        <f>IF(VLOOKUP(B61,'[1]UT Rate Study HCBS Survey'!$B$6:$FG$139,139,0)=0,"",VLOOKUP(B61,'[1]UT Rate Study HCBS Survey'!$B$6:$FG$139,139,0))</f>
        <v>1241071</v>
      </c>
      <c r="H61" s="37">
        <f t="shared" si="8"/>
        <v>8.7220690838799714E-2</v>
      </c>
      <c r="I61" s="60" t="str">
        <f>IF(VLOOKUP(B61,'[1]UT Rate Study HCBS Survey'!$B$6:$FG$139,133,0)=0,"",VLOOKUP(B61,'[1]UT Rate Study HCBS Survey'!$B$6:$FG$139,133,0))</f>
        <v/>
      </c>
      <c r="J61" s="60">
        <f>IF(VLOOKUP(B61,'[1]UT Rate Study HCBS Survey'!$B$6:$FG$139,131,0)=0,"",VLOOKUP(B61,'[1]UT Rate Study HCBS Survey'!$B$6:$FG$139,131,0))</f>
        <v>88025</v>
      </c>
      <c r="K61" s="60" t="str">
        <f>IF(VLOOKUP(B61,'[1]UT Rate Study HCBS Survey'!$B$6:$FG$139,134,0)=0,"",VLOOKUP(B61,'[1]UT Rate Study HCBS Survey'!$B$6:$FG$139,134,0))</f>
        <v/>
      </c>
      <c r="L61" s="60" t="str">
        <f>IF(VLOOKUP(B61,'[1]UT Rate Study HCBS Survey'!$B$6:$FG$139,135,0)=0,"",VLOOKUP(B61,'[1]UT Rate Study HCBS Survey'!$B$6:$FG$139,135,0))</f>
        <v/>
      </c>
      <c r="M61" s="37">
        <f t="shared" si="9"/>
        <v>0.13476885705674768</v>
      </c>
      <c r="N61" s="60">
        <f>IF(VLOOKUP(B61,'[1]UT Rate Study HCBS Survey'!$B$6:$FG$139,138,0)=0,"",VLOOKUP(B61,'[1]UT Rate Study HCBS Survey'!$B$6:$FG$139,138,0))</f>
        <v>2081107.32</v>
      </c>
      <c r="O61" s="60">
        <f>IF(VLOOKUP(B61,'[1]UT Rate Study HCBS Survey'!$B$6:$FG$139,141,0)=0,"",VLOOKUP(B61,'[1]UT Rate Study HCBS Survey'!$B$6:$FG$139,141,0))</f>
        <v>511057.59</v>
      </c>
      <c r="P61" s="37">
        <f t="shared" si="10"/>
        <v>0.24557003143883999</v>
      </c>
      <c r="Q61" s="36">
        <f t="shared" si="4"/>
        <v>55.478689972092951</v>
      </c>
      <c r="R61" s="9"/>
    </row>
    <row r="62" spans="1:18" x14ac:dyDescent="0.25">
      <c r="A62" s="43" t="s">
        <v>365</v>
      </c>
      <c r="B62" s="43" t="s">
        <v>143</v>
      </c>
      <c r="C62" s="60">
        <f>IF(VLOOKUP(B62,'[1]UT Rate Study HCBS Survey'!$B$6:$FG$139,129,0)=0,"",VLOOKUP(B62,'[1]UT Rate Study HCBS Survey'!$B$6:$FG$139,129,0))</f>
        <v>856029.93</v>
      </c>
      <c r="D62" s="61">
        <f>IF(VLOOKUP(B62,'[1]UT Rate Study HCBS Survey'!$B$6:$FG$139,130,0)=0,"",VLOOKUP(B62,'[1]UT Rate Study HCBS Survey'!$B$6:$FG$139,130,0))</f>
        <v>23389.41</v>
      </c>
      <c r="E62" s="36">
        <f t="shared" si="7"/>
        <v>36.599039052289051</v>
      </c>
      <c r="F62" s="60">
        <f>IF(VLOOKUP(B62,'[1]UT Rate Study HCBS Survey'!$B$6:$FG$139,140,0)=0,"",VLOOKUP(B62,'[1]UT Rate Study HCBS Survey'!$B$6:$FG$139,140,0))</f>
        <v>158451.37</v>
      </c>
      <c r="G62" s="60">
        <f>IF(VLOOKUP(B62,'[1]UT Rate Study HCBS Survey'!$B$6:$FG$139,139,0)=0,"",VLOOKUP(B62,'[1]UT Rate Study HCBS Survey'!$B$6:$FG$139,139,0))</f>
        <v>1632275.73</v>
      </c>
      <c r="H62" s="37">
        <f t="shared" si="8"/>
        <v>9.7073899395661536E-2</v>
      </c>
      <c r="I62" s="60" t="str">
        <f>IF(VLOOKUP(B62,'[1]UT Rate Study HCBS Survey'!$B$6:$FG$139,133,0)=0,"",VLOOKUP(B62,'[1]UT Rate Study HCBS Survey'!$B$6:$FG$139,133,0))</f>
        <v/>
      </c>
      <c r="J62" s="60">
        <f>IF(VLOOKUP(B62,'[1]UT Rate Study HCBS Survey'!$B$6:$FG$139,131,0)=0,"",VLOOKUP(B62,'[1]UT Rate Study HCBS Survey'!$B$6:$FG$139,131,0))</f>
        <v>81585.22</v>
      </c>
      <c r="K62" s="60" t="str">
        <f>IF(VLOOKUP(B62,'[1]UT Rate Study HCBS Survey'!$B$6:$FG$139,134,0)=0,"",VLOOKUP(B62,'[1]UT Rate Study HCBS Survey'!$B$6:$FG$139,134,0))</f>
        <v/>
      </c>
      <c r="L62" s="60" t="str">
        <f>IF(VLOOKUP(B62,'[1]UT Rate Study HCBS Survey'!$B$6:$FG$139,135,0)=0,"",VLOOKUP(B62,'[1]UT Rate Study HCBS Survey'!$B$6:$FG$139,135,0))</f>
        <v/>
      </c>
      <c r="M62" s="37">
        <f t="shared" si="9"/>
        <v>9.5306504061137207E-2</v>
      </c>
      <c r="N62" s="60">
        <f>IF(VLOOKUP(B62,'[1]UT Rate Study HCBS Survey'!$B$6:$FG$139,138,0)=0,"",VLOOKUP(B62,'[1]UT Rate Study HCBS Survey'!$B$6:$FG$139,138,0))</f>
        <v>2728505.41</v>
      </c>
      <c r="O62" s="60">
        <f>IF(VLOOKUP(B62,'[1]UT Rate Study HCBS Survey'!$B$6:$FG$139,141,0)=0,"",VLOOKUP(B62,'[1]UT Rate Study HCBS Survey'!$B$6:$FG$139,141,0))</f>
        <v>637137.98</v>
      </c>
      <c r="P62" s="37">
        <f t="shared" si="10"/>
        <v>0.23351171585179301</v>
      </c>
      <c r="Q62" s="36">
        <f t="shared" si="4"/>
        <v>56.934956285465404</v>
      </c>
      <c r="R62" s="9"/>
    </row>
    <row r="63" spans="1:18" x14ac:dyDescent="0.25">
      <c r="A63" s="43" t="s">
        <v>365</v>
      </c>
      <c r="B63" s="43" t="s">
        <v>144</v>
      </c>
      <c r="C63" s="60">
        <f>IF(VLOOKUP(B63,'[1]UT Rate Study HCBS Survey'!$B$6:$FG$139,129,0)=0,"",VLOOKUP(B63,'[1]UT Rate Study HCBS Survey'!$B$6:$FG$139,129,0))</f>
        <v>22424958</v>
      </c>
      <c r="D63" s="61">
        <f>IF(VLOOKUP(B63,'[1]UT Rate Study HCBS Survey'!$B$6:$FG$139,130,0)=0,"",VLOOKUP(B63,'[1]UT Rate Study HCBS Survey'!$B$6:$FG$139,130,0))</f>
        <v>1148670</v>
      </c>
      <c r="E63" s="36">
        <f t="shared" si="7"/>
        <v>19.522541722165634</v>
      </c>
      <c r="F63" s="60">
        <f>IF(VLOOKUP(B63,'[1]UT Rate Study HCBS Survey'!$B$6:$FG$139,140,0)=0,"",VLOOKUP(B63,'[1]UT Rate Study HCBS Survey'!$B$6:$FG$139,140,0))</f>
        <v>1946892</v>
      </c>
      <c r="G63" s="60">
        <f>IF(VLOOKUP(B63,'[1]UT Rate Study HCBS Survey'!$B$6:$FG$139,139,0)=0,"",VLOOKUP(B63,'[1]UT Rate Study HCBS Survey'!$B$6:$FG$139,139,0))</f>
        <v>6105965</v>
      </c>
      <c r="H63" s="37">
        <f t="shared" si="8"/>
        <v>0.31885082865689535</v>
      </c>
      <c r="I63" s="60" t="str">
        <f>IF(VLOOKUP(B63,'[1]UT Rate Study HCBS Survey'!$B$6:$FG$139,133,0)=0,"",VLOOKUP(B63,'[1]UT Rate Study HCBS Survey'!$B$6:$FG$139,133,0))</f>
        <v/>
      </c>
      <c r="J63" s="60" t="str">
        <f>IF(VLOOKUP(B63,'[1]UT Rate Study HCBS Survey'!$B$6:$FG$139,131,0)=0,"",VLOOKUP(B63,'[1]UT Rate Study HCBS Survey'!$B$6:$FG$139,131,0))</f>
        <v/>
      </c>
      <c r="K63" s="60">
        <f>IF(VLOOKUP(B63,'[1]UT Rate Study HCBS Survey'!$B$6:$FG$139,134,0)=0,"",VLOOKUP(B63,'[1]UT Rate Study HCBS Survey'!$B$6:$FG$139,134,0))</f>
        <v>2598</v>
      </c>
      <c r="L63" s="60" t="str">
        <f>IF(VLOOKUP(B63,'[1]UT Rate Study HCBS Survey'!$B$6:$FG$139,135,0)=0,"",VLOOKUP(B63,'[1]UT Rate Study HCBS Survey'!$B$6:$FG$139,135,0))</f>
        <v/>
      </c>
      <c r="M63" s="37">
        <f t="shared" si="9"/>
        <v>1.158530597916839E-4</v>
      </c>
      <c r="N63" s="60">
        <f>IF(VLOOKUP(B63,'[1]UT Rate Study HCBS Survey'!$B$6:$FG$139,138,0)=0,"",VLOOKUP(B63,'[1]UT Rate Study HCBS Survey'!$B$6:$FG$139,138,0))</f>
        <v>24731987</v>
      </c>
      <c r="O63" s="60">
        <f>IF(VLOOKUP(B63,'[1]UT Rate Study HCBS Survey'!$B$6:$FG$139,141,0)=0,"",VLOOKUP(B63,'[1]UT Rate Study HCBS Survey'!$B$6:$FG$139,141,0))</f>
        <v>350325</v>
      </c>
      <c r="P63" s="37">
        <f t="shared" si="10"/>
        <v>1.4164854607112642E-2</v>
      </c>
      <c r="Q63" s="36">
        <f t="shared" si="4"/>
        <v>26.119561870254017</v>
      </c>
      <c r="R63" s="9"/>
    </row>
    <row r="64" spans="1:18" x14ac:dyDescent="0.25">
      <c r="A64" s="43" t="s">
        <v>365</v>
      </c>
      <c r="B64" s="43" t="s">
        <v>145</v>
      </c>
      <c r="C64" s="60">
        <f>IF(VLOOKUP(B64,'[1]UT Rate Study HCBS Survey'!$B$6:$FG$139,129,0)=0,"",VLOOKUP(B64,'[1]UT Rate Study HCBS Survey'!$B$6:$FG$139,129,0))</f>
        <v>1026974.21</v>
      </c>
      <c r="D64" s="61">
        <f>IF(VLOOKUP(B64,'[1]UT Rate Study HCBS Survey'!$B$6:$FG$139,130,0)=0,"",VLOOKUP(B64,'[1]UT Rate Study HCBS Survey'!$B$6:$FG$139,130,0))</f>
        <v>95122.14</v>
      </c>
      <c r="E64" s="36">
        <f t="shared" si="7"/>
        <v>10.796374114375475</v>
      </c>
      <c r="F64" s="60">
        <f>IF(VLOOKUP(B64,'[1]UT Rate Study HCBS Survey'!$B$6:$FG$139,140,0)=0,"",VLOOKUP(B64,'[1]UT Rate Study HCBS Survey'!$B$6:$FG$139,140,0))</f>
        <v>342770.73</v>
      </c>
      <c r="G64" s="60">
        <f>IF(VLOOKUP(B64,'[1]UT Rate Study HCBS Survey'!$B$6:$FG$139,139,0)=0,"",VLOOKUP(B64,'[1]UT Rate Study HCBS Survey'!$B$6:$FG$139,139,0))</f>
        <v>2112890.5299999998</v>
      </c>
      <c r="H64" s="37">
        <f t="shared" si="8"/>
        <v>0.16222834317876375</v>
      </c>
      <c r="I64" s="60" t="str">
        <f>IF(VLOOKUP(B64,'[1]UT Rate Study HCBS Survey'!$B$6:$FG$139,133,0)=0,"",VLOOKUP(B64,'[1]UT Rate Study HCBS Survey'!$B$6:$FG$139,133,0))</f>
        <v/>
      </c>
      <c r="J64" s="60">
        <f>IF(VLOOKUP(B64,'[1]UT Rate Study HCBS Survey'!$B$6:$FG$139,131,0)=0,"",VLOOKUP(B64,'[1]UT Rate Study HCBS Survey'!$B$6:$FG$139,131,0))</f>
        <v>146526.37</v>
      </c>
      <c r="K64" s="60" t="str">
        <f>IF(VLOOKUP(B64,'[1]UT Rate Study HCBS Survey'!$B$6:$FG$139,134,0)=0,"",VLOOKUP(B64,'[1]UT Rate Study HCBS Survey'!$B$6:$FG$139,134,0))</f>
        <v/>
      </c>
      <c r="L64" s="60">
        <f>IF(VLOOKUP(B64,'[1]UT Rate Study HCBS Survey'!$B$6:$FG$139,135,0)=0,"",VLOOKUP(B64,'[1]UT Rate Study HCBS Survey'!$B$6:$FG$139,135,0))</f>
        <v>22176.68</v>
      </c>
      <c r="M64" s="37">
        <f t="shared" si="9"/>
        <v>0.16427194408319173</v>
      </c>
      <c r="N64" s="60">
        <f>IF(VLOOKUP(B64,'[1]UT Rate Study HCBS Survey'!$B$6:$FG$139,138,0)=0,"",VLOOKUP(B64,'[1]UT Rate Study HCBS Survey'!$B$6:$FG$139,138,0))</f>
        <v>4316664.34</v>
      </c>
      <c r="O64" s="60">
        <f>IF(VLOOKUP(B64,'[1]UT Rate Study HCBS Survey'!$B$6:$FG$139,141,0)=0,"",VLOOKUP(B64,'[1]UT Rate Study HCBS Survey'!$B$6:$FG$139,141,0))</f>
        <v>1744837.94</v>
      </c>
      <c r="P64" s="37">
        <f t="shared" si="10"/>
        <v>0.40420977925747176</v>
      </c>
      <c r="Q64" s="36">
        <f t="shared" si="4"/>
        <v>24.037644233666636</v>
      </c>
      <c r="R64" s="9"/>
    </row>
    <row r="65" spans="1:18" x14ac:dyDescent="0.25">
      <c r="A65" s="43" t="s">
        <v>365</v>
      </c>
      <c r="B65" s="43" t="s">
        <v>146</v>
      </c>
      <c r="C65" s="60">
        <f>IF(VLOOKUP(B65,'[1]UT Rate Study HCBS Survey'!$B$6:$FG$139,129,0)=0,"",VLOOKUP(B65,'[1]UT Rate Study HCBS Survey'!$B$6:$FG$139,129,0))</f>
        <v>928020.72</v>
      </c>
      <c r="D65" s="61">
        <f>IF(VLOOKUP(B65,'[1]UT Rate Study HCBS Survey'!$B$6:$FG$139,130,0)=0,"",VLOOKUP(B65,'[1]UT Rate Study HCBS Survey'!$B$6:$FG$139,130,0))</f>
        <v>56600.66</v>
      </c>
      <c r="E65" s="36">
        <f t="shared" si="7"/>
        <v>16.395934605709542</v>
      </c>
      <c r="F65" s="60">
        <f>IF(VLOOKUP(B65,'[1]UT Rate Study HCBS Survey'!$B$6:$FG$139,140,0)=0,"",VLOOKUP(B65,'[1]UT Rate Study HCBS Survey'!$B$6:$FG$139,140,0))</f>
        <v>540761.94999999995</v>
      </c>
      <c r="G65" s="60">
        <f>IF(VLOOKUP(B65,'[1]UT Rate Study HCBS Survey'!$B$6:$FG$139,139,0)=0,"",VLOOKUP(B65,'[1]UT Rate Study HCBS Survey'!$B$6:$FG$139,139,0))</f>
        <v>2405896.98</v>
      </c>
      <c r="H65" s="37">
        <f t="shared" si="8"/>
        <v>0.22476521417804013</v>
      </c>
      <c r="I65" s="60" t="str">
        <f>IF(VLOOKUP(B65,'[1]UT Rate Study HCBS Survey'!$B$6:$FG$139,133,0)=0,"",VLOOKUP(B65,'[1]UT Rate Study HCBS Survey'!$B$6:$FG$139,133,0))</f>
        <v/>
      </c>
      <c r="J65" s="60">
        <f>IF(VLOOKUP(B65,'[1]UT Rate Study HCBS Survey'!$B$6:$FG$139,131,0)=0,"",VLOOKUP(B65,'[1]UT Rate Study HCBS Survey'!$B$6:$FG$139,131,0))</f>
        <v>144521</v>
      </c>
      <c r="K65" s="60" t="str">
        <f>IF(VLOOKUP(B65,'[1]UT Rate Study HCBS Survey'!$B$6:$FG$139,134,0)=0,"",VLOOKUP(B65,'[1]UT Rate Study HCBS Survey'!$B$6:$FG$139,134,0))</f>
        <v/>
      </c>
      <c r="L65" s="60">
        <f>IF(VLOOKUP(B65,'[1]UT Rate Study HCBS Survey'!$B$6:$FG$139,135,0)=0,"",VLOOKUP(B65,'[1]UT Rate Study HCBS Survey'!$B$6:$FG$139,135,0))</f>
        <v>14378.73</v>
      </c>
      <c r="M65" s="37">
        <f t="shared" si="9"/>
        <v>0.17122433430150139</v>
      </c>
      <c r="N65" s="60">
        <f>IF(VLOOKUP(B65,'[1]UT Rate Study HCBS Survey'!$B$6:$FG$139,138,0)=0,"",VLOOKUP(B65,'[1]UT Rate Study HCBS Survey'!$B$6:$FG$139,138,0))</f>
        <v>4070518.55</v>
      </c>
      <c r="O65" s="60">
        <f>IF(VLOOKUP(B65,'[1]UT Rate Study HCBS Survey'!$B$6:$FG$139,141,0)=0,"",VLOOKUP(B65,'[1]UT Rate Study HCBS Survey'!$B$6:$FG$139,141,0))</f>
        <v>1677137.82</v>
      </c>
      <c r="P65" s="37">
        <f t="shared" si="10"/>
        <v>0.41202067977309675</v>
      </c>
      <c r="Q65" s="36">
        <f t="shared" si="4"/>
        <v>38.927480201670669</v>
      </c>
      <c r="R65" s="9"/>
    </row>
    <row r="66" spans="1:18" x14ac:dyDescent="0.25">
      <c r="A66" s="43" t="s">
        <v>365</v>
      </c>
      <c r="B66" s="43" t="s">
        <v>147</v>
      </c>
      <c r="C66" s="60">
        <f>IF(VLOOKUP(B66,'[1]UT Rate Study HCBS Survey'!$B$6:$FG$139,129,0)=0,"",VLOOKUP(B66,'[1]UT Rate Study HCBS Survey'!$B$6:$FG$139,129,0))</f>
        <v>1311158.05</v>
      </c>
      <c r="D66" s="61">
        <f>IF(VLOOKUP(B66,'[1]UT Rate Study HCBS Survey'!$B$6:$FG$139,130,0)=0,"",VLOOKUP(B66,'[1]UT Rate Study HCBS Survey'!$B$6:$FG$139,130,0))</f>
        <v>78169.72</v>
      </c>
      <c r="E66" s="36">
        <f t="shared" si="7"/>
        <v>16.773221779481876</v>
      </c>
      <c r="F66" s="60">
        <f>IF(VLOOKUP(B66,'[1]UT Rate Study HCBS Survey'!$B$6:$FG$139,140,0)=0,"",VLOOKUP(B66,'[1]UT Rate Study HCBS Survey'!$B$6:$FG$139,140,0))</f>
        <v>343741.59</v>
      </c>
      <c r="G66" s="60">
        <f>IF(VLOOKUP(B66,'[1]UT Rate Study HCBS Survey'!$B$6:$FG$139,139,0)=0,"",VLOOKUP(B66,'[1]UT Rate Study HCBS Survey'!$B$6:$FG$139,139,0))</f>
        <v>2570980.46</v>
      </c>
      <c r="H66" s="37">
        <f t="shared" si="8"/>
        <v>0.13370058440661972</v>
      </c>
      <c r="I66" s="60" t="str">
        <f>IF(VLOOKUP(B66,'[1]UT Rate Study HCBS Survey'!$B$6:$FG$139,133,0)=0,"",VLOOKUP(B66,'[1]UT Rate Study HCBS Survey'!$B$6:$FG$139,133,0))</f>
        <v/>
      </c>
      <c r="J66" s="60">
        <f>IF(VLOOKUP(B66,'[1]UT Rate Study HCBS Survey'!$B$6:$FG$139,131,0)=0,"",VLOOKUP(B66,'[1]UT Rate Study HCBS Survey'!$B$6:$FG$139,131,0))</f>
        <v>141357.76000000001</v>
      </c>
      <c r="K66" s="60" t="str">
        <f>IF(VLOOKUP(B66,'[1]UT Rate Study HCBS Survey'!$B$6:$FG$139,134,0)=0,"",VLOOKUP(B66,'[1]UT Rate Study HCBS Survey'!$B$6:$FG$139,134,0))</f>
        <v/>
      </c>
      <c r="L66" s="60">
        <f>IF(VLOOKUP(B66,'[1]UT Rate Study HCBS Survey'!$B$6:$FG$139,135,0)=0,"",VLOOKUP(B66,'[1]UT Rate Study HCBS Survey'!$B$6:$FG$139,135,0))</f>
        <v>27076.78</v>
      </c>
      <c r="M66" s="37">
        <f t="shared" si="9"/>
        <v>0.12846242297028951</v>
      </c>
      <c r="N66" s="60">
        <f>IF(VLOOKUP(B66,'[1]UT Rate Study HCBS Survey'!$B$6:$FG$139,138,0)=0,"",VLOOKUP(B66,'[1]UT Rate Study HCBS Survey'!$B$6:$FG$139,138,0))</f>
        <v>4480453.83</v>
      </c>
      <c r="O66" s="60">
        <f>IF(VLOOKUP(B66,'[1]UT Rate Study HCBS Survey'!$B$6:$FG$139,141,0)=0,"",VLOOKUP(B66,'[1]UT Rate Study HCBS Survey'!$B$6:$FG$139,141,0))</f>
        <v>2383189.41</v>
      </c>
      <c r="P66" s="37">
        <f t="shared" si="10"/>
        <v>0.53190803887828486</v>
      </c>
      <c r="Q66" s="36">
        <f t="shared" si="4"/>
        <v>45.227309595017523</v>
      </c>
      <c r="R66" s="9"/>
    </row>
    <row r="67" spans="1:18" x14ac:dyDescent="0.25">
      <c r="A67" s="43" t="s">
        <v>365</v>
      </c>
      <c r="B67" s="43" t="s">
        <v>148</v>
      </c>
      <c r="C67" s="60">
        <f>IF(VLOOKUP(B67,'[1]UT Rate Study HCBS Survey'!$B$6:$FG$139,129,0)=0,"",VLOOKUP(B67,'[1]UT Rate Study HCBS Survey'!$B$6:$FG$139,129,0))</f>
        <v>915181.54</v>
      </c>
      <c r="D67" s="61">
        <f>IF(VLOOKUP(B67,'[1]UT Rate Study HCBS Survey'!$B$6:$FG$139,130,0)=0,"",VLOOKUP(B67,'[1]UT Rate Study HCBS Survey'!$B$6:$FG$139,130,0))</f>
        <v>50154.76</v>
      </c>
      <c r="E67" s="36">
        <f t="shared" si="7"/>
        <v>18.247152214465785</v>
      </c>
      <c r="F67" s="60">
        <f>IF(VLOOKUP(B67,'[1]UT Rate Study HCBS Survey'!$B$6:$FG$139,140,0)=0,"",VLOOKUP(B67,'[1]UT Rate Study HCBS Survey'!$B$6:$FG$139,140,0))</f>
        <v>394008.15</v>
      </c>
      <c r="G67" s="60">
        <f>IF(VLOOKUP(B67,'[1]UT Rate Study HCBS Survey'!$B$6:$FG$139,139,0)=0,"",VLOOKUP(B67,'[1]UT Rate Study HCBS Survey'!$B$6:$FG$139,139,0))</f>
        <v>1799713.01</v>
      </c>
      <c r="H67" s="37">
        <f t="shared" si="8"/>
        <v>0.2189283223551293</v>
      </c>
      <c r="I67" s="60" t="str">
        <f>IF(VLOOKUP(B67,'[1]UT Rate Study HCBS Survey'!$B$6:$FG$139,133,0)=0,"",VLOOKUP(B67,'[1]UT Rate Study HCBS Survey'!$B$6:$FG$139,133,0))</f>
        <v/>
      </c>
      <c r="J67" s="60">
        <f>IF(VLOOKUP(B67,'[1]UT Rate Study HCBS Survey'!$B$6:$FG$139,131,0)=0,"",VLOOKUP(B67,'[1]UT Rate Study HCBS Survey'!$B$6:$FG$139,131,0))</f>
        <v>103879.46</v>
      </c>
      <c r="K67" s="60" t="str">
        <f>IF(VLOOKUP(B67,'[1]UT Rate Study HCBS Survey'!$B$6:$FG$139,134,0)=0,"",VLOOKUP(B67,'[1]UT Rate Study HCBS Survey'!$B$6:$FG$139,134,0))</f>
        <v/>
      </c>
      <c r="L67" s="60">
        <f>IF(VLOOKUP(B67,'[1]UT Rate Study HCBS Survey'!$B$6:$FG$139,135,0)=0,"",VLOOKUP(B67,'[1]UT Rate Study HCBS Survey'!$B$6:$FG$139,135,0))</f>
        <v>25845.07</v>
      </c>
      <c r="M67" s="37">
        <f t="shared" si="9"/>
        <v>0.14174731933513432</v>
      </c>
      <c r="N67" s="60">
        <f>IF(VLOOKUP(B67,'[1]UT Rate Study HCBS Survey'!$B$6:$FG$139,138,0)=0,"",VLOOKUP(B67,'[1]UT Rate Study HCBS Survey'!$B$6:$FG$139,138,0))</f>
        <v>3316888.1</v>
      </c>
      <c r="O67" s="60">
        <f>IF(VLOOKUP(B67,'[1]UT Rate Study HCBS Survey'!$B$6:$FG$139,141,0)=0,"",VLOOKUP(B67,'[1]UT Rate Study HCBS Survey'!$B$6:$FG$139,141,0))</f>
        <v>1802793.88</v>
      </c>
      <c r="P67" s="37">
        <f t="shared" si="10"/>
        <v>0.54351965627058685</v>
      </c>
      <c r="Q67" s="36">
        <f t="shared" si="4"/>
        <v>54.391072670493031</v>
      </c>
      <c r="R67" s="9"/>
    </row>
    <row r="68" spans="1:18" x14ac:dyDescent="0.25">
      <c r="A68" s="43" t="s">
        <v>365</v>
      </c>
      <c r="B68" s="43" t="s">
        <v>149</v>
      </c>
      <c r="C68" s="60">
        <f>IF(VLOOKUP(B68,'[1]UT Rate Study HCBS Survey'!$B$6:$FG$139,129,0)=0,"",VLOOKUP(B68,'[1]UT Rate Study HCBS Survey'!$B$6:$FG$139,129,0))</f>
        <v>1186796.77</v>
      </c>
      <c r="D68" s="61">
        <f>IF(VLOOKUP(B68,'[1]UT Rate Study HCBS Survey'!$B$6:$FG$139,130,0)=0,"",VLOOKUP(B68,'[1]UT Rate Study HCBS Survey'!$B$6:$FG$139,130,0))</f>
        <v>68301.7</v>
      </c>
      <c r="E68" s="36">
        <f t="shared" si="7"/>
        <v>17.375801334373815</v>
      </c>
      <c r="F68" s="60">
        <f>IF(VLOOKUP(B68,'[1]UT Rate Study HCBS Survey'!$B$6:$FG$139,140,0)=0,"",VLOOKUP(B68,'[1]UT Rate Study HCBS Survey'!$B$6:$FG$139,140,0))</f>
        <v>610729.29</v>
      </c>
      <c r="G68" s="60">
        <f>IF(VLOOKUP(B68,'[1]UT Rate Study HCBS Survey'!$B$6:$FG$139,139,0)=0,"",VLOOKUP(B68,'[1]UT Rate Study HCBS Survey'!$B$6:$FG$139,139,0))</f>
        <v>2273999.5699999998</v>
      </c>
      <c r="H68" s="37">
        <f t="shared" si="8"/>
        <v>0.26857053891175542</v>
      </c>
      <c r="I68" s="60" t="str">
        <f>IF(VLOOKUP(B68,'[1]UT Rate Study HCBS Survey'!$B$6:$FG$139,133,0)=0,"",VLOOKUP(B68,'[1]UT Rate Study HCBS Survey'!$B$6:$FG$139,133,0))</f>
        <v/>
      </c>
      <c r="J68" s="60">
        <f>IF(VLOOKUP(B68,'[1]UT Rate Study HCBS Survey'!$B$6:$FG$139,131,0)=0,"",VLOOKUP(B68,'[1]UT Rate Study HCBS Survey'!$B$6:$FG$139,131,0))</f>
        <v>175867.76</v>
      </c>
      <c r="K68" s="60" t="str">
        <f>IF(VLOOKUP(B68,'[1]UT Rate Study HCBS Survey'!$B$6:$FG$139,134,0)=0,"",VLOOKUP(B68,'[1]UT Rate Study HCBS Survey'!$B$6:$FG$139,134,0))</f>
        <v/>
      </c>
      <c r="L68" s="60">
        <f>IF(VLOOKUP(B68,'[1]UT Rate Study HCBS Survey'!$B$6:$FG$139,135,0)=0,"",VLOOKUP(B68,'[1]UT Rate Study HCBS Survey'!$B$6:$FG$139,135,0))</f>
        <v>32572.25</v>
      </c>
      <c r="M68" s="37">
        <f t="shared" si="9"/>
        <v>0.17563243789414762</v>
      </c>
      <c r="N68" s="60">
        <f>IF(VLOOKUP(B68,'[1]UT Rate Study HCBS Survey'!$B$6:$FG$139,138,0)=0,"",VLOOKUP(B68,'[1]UT Rate Study HCBS Survey'!$B$6:$FG$139,138,0))</f>
        <v>4008134.7</v>
      </c>
      <c r="O68" s="60">
        <f>IF(VLOOKUP(B68,'[1]UT Rate Study HCBS Survey'!$B$6:$FG$139,141,0)=0,"",VLOOKUP(B68,'[1]UT Rate Study HCBS Survey'!$B$6:$FG$139,141,0))</f>
        <v>2036875.6</v>
      </c>
      <c r="P68" s="37">
        <f t="shared" si="10"/>
        <v>0.5081854160240673</v>
      </c>
      <c r="Q68" s="36">
        <f t="shared" si="4"/>
        <v>51.023667920995706</v>
      </c>
      <c r="R68" s="9"/>
    </row>
    <row r="69" spans="1:18" x14ac:dyDescent="0.25">
      <c r="A69" s="43" t="s">
        <v>365</v>
      </c>
      <c r="B69" s="43" t="s">
        <v>150</v>
      </c>
      <c r="C69" s="60">
        <f>IF(VLOOKUP(B69,'[1]UT Rate Study HCBS Survey'!$B$6:$FG$139,129,0)=0,"",VLOOKUP(B69,'[1]UT Rate Study HCBS Survey'!$B$6:$FG$139,129,0))</f>
        <v>1178281.8600000001</v>
      </c>
      <c r="D69" s="61">
        <f>IF(VLOOKUP(B69,'[1]UT Rate Study HCBS Survey'!$B$6:$FG$139,130,0)=0,"",VLOOKUP(B69,'[1]UT Rate Study HCBS Survey'!$B$6:$FG$139,130,0))</f>
        <v>67294.600000000006</v>
      </c>
      <c r="E69" s="36">
        <f t="shared" si="7"/>
        <v>17.509307730486547</v>
      </c>
      <c r="F69" s="60">
        <f>IF(VLOOKUP(B69,'[1]UT Rate Study HCBS Survey'!$B$6:$FG$139,140,0)=0,"",VLOOKUP(B69,'[1]UT Rate Study HCBS Survey'!$B$6:$FG$139,140,0))</f>
        <v>551039.31000000006</v>
      </c>
      <c r="G69" s="60">
        <f>IF(VLOOKUP(B69,'[1]UT Rate Study HCBS Survey'!$B$6:$FG$139,139,0)=0,"",VLOOKUP(B69,'[1]UT Rate Study HCBS Survey'!$B$6:$FG$139,139,0))</f>
        <v>2185093.7200000002</v>
      </c>
      <c r="H69" s="37">
        <f t="shared" si="8"/>
        <v>0.25218108722586052</v>
      </c>
      <c r="I69" s="60" t="str">
        <f>IF(VLOOKUP(B69,'[1]UT Rate Study HCBS Survey'!$B$6:$FG$139,133,0)=0,"",VLOOKUP(B69,'[1]UT Rate Study HCBS Survey'!$B$6:$FG$139,133,0))</f>
        <v/>
      </c>
      <c r="J69" s="60">
        <f>IF(VLOOKUP(B69,'[1]UT Rate Study HCBS Survey'!$B$6:$FG$139,131,0)=0,"",VLOOKUP(B69,'[1]UT Rate Study HCBS Survey'!$B$6:$FG$139,131,0))</f>
        <v>147325.16</v>
      </c>
      <c r="K69" s="60" t="str">
        <f>IF(VLOOKUP(B69,'[1]UT Rate Study HCBS Survey'!$B$6:$FG$139,134,0)=0,"",VLOOKUP(B69,'[1]UT Rate Study HCBS Survey'!$B$6:$FG$139,134,0))</f>
        <v/>
      </c>
      <c r="L69" s="60">
        <f>IF(VLOOKUP(B69,'[1]UT Rate Study HCBS Survey'!$B$6:$FG$139,135,0)=0,"",VLOOKUP(B69,'[1]UT Rate Study HCBS Survey'!$B$6:$FG$139,135,0))</f>
        <v>24242.080000000002</v>
      </c>
      <c r="M69" s="37">
        <f t="shared" si="9"/>
        <v>0.14560797872251041</v>
      </c>
      <c r="N69" s="60">
        <f>IF(VLOOKUP(B69,'[1]UT Rate Study HCBS Survey'!$B$6:$FG$139,138,0)=0,"",VLOOKUP(B69,'[1]UT Rate Study HCBS Survey'!$B$6:$FG$139,138,0))</f>
        <v>3813397.91</v>
      </c>
      <c r="O69" s="60">
        <f>IF(VLOOKUP(B69,'[1]UT Rate Study HCBS Survey'!$B$6:$FG$139,141,0)=0,"",VLOOKUP(B69,'[1]UT Rate Study HCBS Survey'!$B$6:$FG$139,141,0))</f>
        <v>1942837.57</v>
      </c>
      <c r="P69" s="37">
        <f t="shared" si="10"/>
        <v>0.50947674904452867</v>
      </c>
      <c r="Q69" s="36">
        <f t="shared" si="4"/>
        <v>49.89430949567997</v>
      </c>
      <c r="R69" s="9"/>
    </row>
    <row r="70" spans="1:18" x14ac:dyDescent="0.25">
      <c r="A70" s="43" t="s">
        <v>365</v>
      </c>
      <c r="B70" s="43" t="s">
        <v>151</v>
      </c>
      <c r="C70" s="60">
        <f>IF(VLOOKUP(B70,'[1]UT Rate Study HCBS Survey'!$B$6:$FG$139,129,0)=0,"",VLOOKUP(B70,'[1]UT Rate Study HCBS Survey'!$B$6:$FG$139,129,0))</f>
        <v>1599105.71</v>
      </c>
      <c r="D70" s="61">
        <f>IF(VLOOKUP(B70,'[1]UT Rate Study HCBS Survey'!$B$6:$FG$139,130,0)=0,"",VLOOKUP(B70,'[1]UT Rate Study HCBS Survey'!$B$6:$FG$139,130,0))</f>
        <v>86621.34</v>
      </c>
      <c r="E70" s="36">
        <f t="shared" si="7"/>
        <v>18.460874768273037</v>
      </c>
      <c r="F70" s="60">
        <f>IF(VLOOKUP(B70,'[1]UT Rate Study HCBS Survey'!$B$6:$FG$139,140,0)=0,"",VLOOKUP(B70,'[1]UT Rate Study HCBS Survey'!$B$6:$FG$139,140,0))</f>
        <v>673697.07</v>
      </c>
      <c r="G70" s="60">
        <f>IF(VLOOKUP(B70,'[1]UT Rate Study HCBS Survey'!$B$6:$FG$139,139,0)=0,"",VLOOKUP(B70,'[1]UT Rate Study HCBS Survey'!$B$6:$FG$139,139,0))</f>
        <v>3087116.6</v>
      </c>
      <c r="H70" s="37">
        <f t="shared" si="8"/>
        <v>0.21822857938051318</v>
      </c>
      <c r="I70" s="60">
        <f>IF(VLOOKUP(B70,'[1]UT Rate Study HCBS Survey'!$B$6:$FG$139,133,0)=0,"",VLOOKUP(B70,'[1]UT Rate Study HCBS Survey'!$B$6:$FG$139,133,0))</f>
        <v>15436.64</v>
      </c>
      <c r="J70" s="60">
        <f>IF(VLOOKUP(B70,'[1]UT Rate Study HCBS Survey'!$B$6:$FG$139,131,0)=0,"",VLOOKUP(B70,'[1]UT Rate Study HCBS Survey'!$B$6:$FG$139,131,0))</f>
        <v>200076.04</v>
      </c>
      <c r="K70" s="60" t="str">
        <f>IF(VLOOKUP(B70,'[1]UT Rate Study HCBS Survey'!$B$6:$FG$139,134,0)=0,"",VLOOKUP(B70,'[1]UT Rate Study HCBS Survey'!$B$6:$FG$139,134,0))</f>
        <v/>
      </c>
      <c r="L70" s="60">
        <f>IF(VLOOKUP(B70,'[1]UT Rate Study HCBS Survey'!$B$6:$FG$139,135,0)=0,"",VLOOKUP(B70,'[1]UT Rate Study HCBS Survey'!$B$6:$FG$139,135,0))</f>
        <v>36225.79</v>
      </c>
      <c r="M70" s="37">
        <f t="shared" si="9"/>
        <v>0.14635839685468766</v>
      </c>
      <c r="N70" s="60">
        <f>IF(VLOOKUP(B70,'[1]UT Rate Study HCBS Survey'!$B$6:$FG$139,138,0)=0,"",VLOOKUP(B70,'[1]UT Rate Study HCBS Survey'!$B$6:$FG$139,138,0))</f>
        <v>5394160.1299999999</v>
      </c>
      <c r="O70" s="60">
        <f>IF(VLOOKUP(B70,'[1]UT Rate Study HCBS Survey'!$B$6:$FG$139,141,0)=0,"",VLOOKUP(B70,'[1]UT Rate Study HCBS Survey'!$B$6:$FG$139,141,0))</f>
        <v>2877491.82</v>
      </c>
      <c r="P70" s="37">
        <f t="shared" si="10"/>
        <v>0.53344575441812103</v>
      </c>
      <c r="Q70" s="36">
        <f t="shared" si="4"/>
        <v>53.994727338245568</v>
      </c>
      <c r="R70" s="9"/>
    </row>
    <row r="71" spans="1:18" x14ac:dyDescent="0.25">
      <c r="A71" s="43" t="s">
        <v>365</v>
      </c>
      <c r="B71" s="43" t="s">
        <v>152</v>
      </c>
      <c r="C71" s="60">
        <f>IF(VLOOKUP(B71,'[1]UT Rate Study HCBS Survey'!$B$6:$FG$139,129,0)=0,"",VLOOKUP(B71,'[1]UT Rate Study HCBS Survey'!$B$6:$FG$139,129,0))</f>
        <v>833213.42</v>
      </c>
      <c r="D71" s="61">
        <f>IF(VLOOKUP(B71,'[1]UT Rate Study HCBS Survey'!$B$6:$FG$139,130,0)=0,"",VLOOKUP(B71,'[1]UT Rate Study HCBS Survey'!$B$6:$FG$139,130,0))</f>
        <v>50111.96</v>
      </c>
      <c r="E71" s="36">
        <f t="shared" si="7"/>
        <v>16.627037138439608</v>
      </c>
      <c r="F71" s="60">
        <f>IF(VLOOKUP(B71,'[1]UT Rate Study HCBS Survey'!$B$6:$FG$139,140,0)=0,"",VLOOKUP(B71,'[1]UT Rate Study HCBS Survey'!$B$6:$FG$139,140,0))</f>
        <v>469662.39</v>
      </c>
      <c r="G71" s="60">
        <f>IF(VLOOKUP(B71,'[1]UT Rate Study HCBS Survey'!$B$6:$FG$139,139,0)=0,"",VLOOKUP(B71,'[1]UT Rate Study HCBS Survey'!$B$6:$FG$139,139,0))</f>
        <v>1495684.7</v>
      </c>
      <c r="H71" s="37">
        <f t="shared" si="8"/>
        <v>0.31401162959011347</v>
      </c>
      <c r="I71" s="60" t="str">
        <f>IF(VLOOKUP(B71,'[1]UT Rate Study HCBS Survey'!$B$6:$FG$139,133,0)=0,"",VLOOKUP(B71,'[1]UT Rate Study HCBS Survey'!$B$6:$FG$139,133,0))</f>
        <v/>
      </c>
      <c r="J71" s="60" t="str">
        <f>IF(VLOOKUP(B71,'[1]UT Rate Study HCBS Survey'!$B$6:$FG$139,131,0)=0,"",VLOOKUP(B71,'[1]UT Rate Study HCBS Survey'!$B$6:$FG$139,131,0))</f>
        <v/>
      </c>
      <c r="K71" s="60" t="str">
        <f>IF(VLOOKUP(B71,'[1]UT Rate Study HCBS Survey'!$B$6:$FG$139,134,0)=0,"",VLOOKUP(B71,'[1]UT Rate Study HCBS Survey'!$B$6:$FG$139,134,0))</f>
        <v/>
      </c>
      <c r="L71" s="60" t="str">
        <f>IF(VLOOKUP(B71,'[1]UT Rate Study HCBS Survey'!$B$6:$FG$139,135,0)=0,"",VLOOKUP(B71,'[1]UT Rate Study HCBS Survey'!$B$6:$FG$139,135,0))</f>
        <v/>
      </c>
      <c r="M71" s="37" t="str">
        <f t="shared" si="9"/>
        <v/>
      </c>
      <c r="N71" s="60">
        <f>IF(VLOOKUP(B71,'[1]UT Rate Study HCBS Survey'!$B$6:$FG$139,138,0)=0,"",VLOOKUP(B71,'[1]UT Rate Study HCBS Survey'!$B$6:$FG$139,138,0))</f>
        <v>3210007.68</v>
      </c>
      <c r="O71" s="60">
        <f>IF(VLOOKUP(B71,'[1]UT Rate Study HCBS Survey'!$B$6:$FG$139,141,0)=0,"",VLOOKUP(B71,'[1]UT Rate Study HCBS Survey'!$B$6:$FG$139,141,0))</f>
        <v>2832323.8</v>
      </c>
      <c r="P71" s="37">
        <f t="shared" si="10"/>
        <v>0.8823417519050919</v>
      </c>
      <c r="Q71" s="36">
        <f>IFERROR((E71+(E71*H71))/(1-P71),"")</f>
        <v>185.69136052334173</v>
      </c>
      <c r="R71" s="9"/>
    </row>
    <row r="72" spans="1:18" x14ac:dyDescent="0.25">
      <c r="A72" s="43" t="s">
        <v>365</v>
      </c>
      <c r="B72" s="43" t="s">
        <v>153</v>
      </c>
      <c r="C72" s="60">
        <f>IF(VLOOKUP(B72,'[1]UT Rate Study HCBS Survey'!$B$6:$FG$139,129,0)=0,"",VLOOKUP(B72,'[1]UT Rate Study HCBS Survey'!$B$6:$FG$139,129,0))</f>
        <v>861909.18</v>
      </c>
      <c r="D72" s="61">
        <f>IF(VLOOKUP(B72,'[1]UT Rate Study HCBS Survey'!$B$6:$FG$139,130,0)=0,"",VLOOKUP(B72,'[1]UT Rate Study HCBS Survey'!$B$6:$FG$139,130,0))</f>
        <v>48477.7</v>
      </c>
      <c r="E72" s="36">
        <f t="shared" si="7"/>
        <v>17.7794982022662</v>
      </c>
      <c r="F72" s="60">
        <f>IF(VLOOKUP(B72,'[1]UT Rate Study HCBS Survey'!$B$6:$FG$139,140,0)=0,"",VLOOKUP(B72,'[1]UT Rate Study HCBS Survey'!$B$6:$FG$139,140,0))</f>
        <v>1379748.3</v>
      </c>
      <c r="G72" s="60">
        <f>IF(VLOOKUP(B72,'[1]UT Rate Study HCBS Survey'!$B$6:$FG$139,139,0)=0,"",VLOOKUP(B72,'[1]UT Rate Study HCBS Survey'!$B$6:$FG$139,139,0))</f>
        <v>5389289.3700000001</v>
      </c>
      <c r="H72" s="37">
        <f t="shared" si="8"/>
        <v>0.25601674084908155</v>
      </c>
      <c r="I72" s="60" t="str">
        <f>IF(VLOOKUP(B72,'[1]UT Rate Study HCBS Survey'!$B$6:$FG$139,133,0)=0,"",VLOOKUP(B72,'[1]UT Rate Study HCBS Survey'!$B$6:$FG$139,133,0))</f>
        <v/>
      </c>
      <c r="J72" s="60">
        <f>IF(VLOOKUP(B72,'[1]UT Rate Study HCBS Survey'!$B$6:$FG$139,131,0)=0,"",VLOOKUP(B72,'[1]UT Rate Study HCBS Survey'!$B$6:$FG$139,131,0))</f>
        <v>148900.63</v>
      </c>
      <c r="K72" s="60" t="str">
        <f>IF(VLOOKUP(B72,'[1]UT Rate Study HCBS Survey'!$B$6:$FG$139,134,0)=0,"",VLOOKUP(B72,'[1]UT Rate Study HCBS Survey'!$B$6:$FG$139,134,0))</f>
        <v/>
      </c>
      <c r="L72" s="60">
        <f>IF(VLOOKUP(B72,'[1]UT Rate Study HCBS Survey'!$B$6:$FG$139,135,0)=0,"",VLOOKUP(B72,'[1]UT Rate Study HCBS Survey'!$B$6:$FG$139,135,0))</f>
        <v>11513.19</v>
      </c>
      <c r="M72" s="37">
        <f t="shared" si="9"/>
        <v>0.18611452775105608</v>
      </c>
      <c r="N72" s="60">
        <f>IF(VLOOKUP(B72,'[1]UT Rate Study HCBS Survey'!$B$6:$FG$139,138,0)=0,"",VLOOKUP(B72,'[1]UT Rate Study HCBS Survey'!$B$6:$FG$139,138,0))</f>
        <v>10297373.85</v>
      </c>
      <c r="O72" s="60">
        <f>IF(VLOOKUP(B72,'[1]UT Rate Study HCBS Survey'!$B$6:$FG$139,141,0)=0,"",VLOOKUP(B72,'[1]UT Rate Study HCBS Survey'!$B$6:$FG$139,141,0))</f>
        <v>2732342.44</v>
      </c>
      <c r="P72" s="37">
        <f t="shared" si="10"/>
        <v>0.26534361865476991</v>
      </c>
      <c r="Q72" s="36">
        <f t="shared" ref="Q72:Q92" si="11">IFERROR((E72+(E72*H72)+(E72*M72))/(1-P72),"")</f>
        <v>34.901174138796577</v>
      </c>
      <c r="R72" s="9"/>
    </row>
    <row r="73" spans="1:18" x14ac:dyDescent="0.25">
      <c r="A73" s="43" t="s">
        <v>365</v>
      </c>
      <c r="B73" s="43" t="s">
        <v>154</v>
      </c>
      <c r="C73" s="60">
        <f>IF(VLOOKUP(B73,'[1]UT Rate Study HCBS Survey'!$B$6:$FG$139,129,0)=0,"",VLOOKUP(B73,'[1]UT Rate Study HCBS Survey'!$B$6:$FG$139,129,0))</f>
        <v>1594187.1</v>
      </c>
      <c r="D73" s="61">
        <f>IF(VLOOKUP(B73,'[1]UT Rate Study HCBS Survey'!$B$6:$FG$139,130,0)=0,"",VLOOKUP(B73,'[1]UT Rate Study HCBS Survey'!$B$6:$FG$139,130,0))</f>
        <v>80156.990000000005</v>
      </c>
      <c r="E73" s="36">
        <f t="shared" si="7"/>
        <v>19.888310426826155</v>
      </c>
      <c r="F73" s="60">
        <f>IF(VLOOKUP(B73,'[1]UT Rate Study HCBS Survey'!$B$6:$FG$139,140,0)=0,"",VLOOKUP(B73,'[1]UT Rate Study HCBS Survey'!$B$6:$FG$139,140,0))</f>
        <v>894798.37</v>
      </c>
      <c r="G73" s="60">
        <f>IF(VLOOKUP(B73,'[1]UT Rate Study HCBS Survey'!$B$6:$FG$139,139,0)=0,"",VLOOKUP(B73,'[1]UT Rate Study HCBS Survey'!$B$6:$FG$139,139,0))</f>
        <v>3980626.52</v>
      </c>
      <c r="H73" s="37">
        <f t="shared" si="8"/>
        <v>0.22478832553223305</v>
      </c>
      <c r="I73" s="60" t="str">
        <f>IF(VLOOKUP(B73,'[1]UT Rate Study HCBS Survey'!$B$6:$FG$139,133,0)=0,"",VLOOKUP(B73,'[1]UT Rate Study HCBS Survey'!$B$6:$FG$139,133,0))</f>
        <v/>
      </c>
      <c r="J73" s="60">
        <f>IF(VLOOKUP(B73,'[1]UT Rate Study HCBS Survey'!$B$6:$FG$139,131,0)=0,"",VLOOKUP(B73,'[1]UT Rate Study HCBS Survey'!$B$6:$FG$139,131,0))</f>
        <v>203519.49</v>
      </c>
      <c r="K73" s="60" t="str">
        <f>IF(VLOOKUP(B73,'[1]UT Rate Study HCBS Survey'!$B$6:$FG$139,134,0)=0,"",VLOOKUP(B73,'[1]UT Rate Study HCBS Survey'!$B$6:$FG$139,134,0))</f>
        <v/>
      </c>
      <c r="L73" s="60">
        <f>IF(VLOOKUP(B73,'[1]UT Rate Study HCBS Survey'!$B$6:$FG$139,135,0)=0,"",VLOOKUP(B73,'[1]UT Rate Study HCBS Survey'!$B$6:$FG$139,135,0))</f>
        <v>34165.599999999999</v>
      </c>
      <c r="M73" s="37">
        <f t="shared" si="9"/>
        <v>0.1490948521663486</v>
      </c>
      <c r="N73" s="60">
        <f>IF(VLOOKUP(B73,'[1]UT Rate Study HCBS Survey'!$B$6:$FG$139,138,0)=0,"",VLOOKUP(B73,'[1]UT Rate Study HCBS Survey'!$B$6:$FG$139,138,0))</f>
        <v>6854000.6399999997</v>
      </c>
      <c r="O73" s="60">
        <f>IF(VLOOKUP(B73,'[1]UT Rate Study HCBS Survey'!$B$6:$FG$139,141,0)=0,"",VLOOKUP(B73,'[1]UT Rate Study HCBS Survey'!$B$6:$FG$139,141,0))</f>
        <v>4171645.28</v>
      </c>
      <c r="P73" s="37">
        <f t="shared" si="10"/>
        <v>0.60864384162065088</v>
      </c>
      <c r="Q73" s="36">
        <f t="shared" si="11"/>
        <v>69.819305364751315</v>
      </c>
      <c r="R73" s="9"/>
    </row>
    <row r="74" spans="1:18" x14ac:dyDescent="0.25">
      <c r="A74" s="43" t="s">
        <v>365</v>
      </c>
      <c r="B74" s="43" t="s">
        <v>155</v>
      </c>
      <c r="C74" s="60">
        <f>IF(VLOOKUP(B74,'[1]UT Rate Study HCBS Survey'!$B$6:$FG$139,129,0)=0,"",VLOOKUP(B74,'[1]UT Rate Study HCBS Survey'!$B$6:$FG$139,129,0))</f>
        <v>540</v>
      </c>
      <c r="D74" s="61">
        <f>IF(VLOOKUP(B74,'[1]UT Rate Study HCBS Survey'!$B$6:$FG$139,130,0)=0,"",VLOOKUP(B74,'[1]UT Rate Study HCBS Survey'!$B$6:$FG$139,130,0))</f>
        <v>18</v>
      </c>
      <c r="E74" s="36">
        <f t="shared" si="7"/>
        <v>30</v>
      </c>
      <c r="F74" s="60">
        <f>IF(VLOOKUP(B74,'[1]UT Rate Study HCBS Survey'!$B$6:$FG$139,140,0)=0,"",VLOOKUP(B74,'[1]UT Rate Study HCBS Survey'!$B$6:$FG$139,140,0))</f>
        <v>10053</v>
      </c>
      <c r="G74" s="60">
        <f>IF(VLOOKUP(B74,'[1]UT Rate Study HCBS Survey'!$B$6:$FG$139,139,0)=0,"",VLOOKUP(B74,'[1]UT Rate Study HCBS Survey'!$B$6:$FG$139,139,0))</f>
        <v>202000</v>
      </c>
      <c r="H74" s="37">
        <f t="shared" si="8"/>
        <v>4.976732673267327E-2</v>
      </c>
      <c r="I74" s="60" t="str">
        <f>IF(VLOOKUP(B74,'[1]UT Rate Study HCBS Survey'!$B$6:$FG$139,133,0)=0,"",VLOOKUP(B74,'[1]UT Rate Study HCBS Survey'!$B$6:$FG$139,133,0))</f>
        <v/>
      </c>
      <c r="J74" s="60" t="str">
        <f>IF(VLOOKUP(B74,'[1]UT Rate Study HCBS Survey'!$B$6:$FG$139,131,0)=0,"",VLOOKUP(B74,'[1]UT Rate Study HCBS Survey'!$B$6:$FG$139,131,0))</f>
        <v/>
      </c>
      <c r="K74" s="60" t="str">
        <f>IF(VLOOKUP(B74,'[1]UT Rate Study HCBS Survey'!$B$6:$FG$139,134,0)=0,"",VLOOKUP(B74,'[1]UT Rate Study HCBS Survey'!$B$6:$FG$139,134,0))</f>
        <v/>
      </c>
      <c r="L74" s="60" t="str">
        <f>IF(VLOOKUP(B74,'[1]UT Rate Study HCBS Survey'!$B$6:$FG$139,135,0)=0,"",VLOOKUP(B74,'[1]UT Rate Study HCBS Survey'!$B$6:$FG$139,135,0))</f>
        <v/>
      </c>
      <c r="M74" s="37" t="str">
        <f t="shared" si="9"/>
        <v/>
      </c>
      <c r="N74" s="60">
        <f>IF(VLOOKUP(B74,'[1]UT Rate Study HCBS Survey'!$B$6:$FG$139,138,0)=0,"",VLOOKUP(B74,'[1]UT Rate Study HCBS Survey'!$B$6:$FG$139,138,0))</f>
        <v>253540</v>
      </c>
      <c r="O74" s="60">
        <f>IF(VLOOKUP(B74,'[1]UT Rate Study HCBS Survey'!$B$6:$FG$139,141,0)=0,"",VLOOKUP(B74,'[1]UT Rate Study HCBS Survey'!$B$6:$FG$139,141,0))</f>
        <v>7000</v>
      </c>
      <c r="P74" s="37">
        <f t="shared" si="10"/>
        <v>2.7609055770292656E-2</v>
      </c>
      <c r="Q74" s="36">
        <f>IFERROR((E74+(E74*H74))/(1-P74),"")</f>
        <v>32.387199807715007</v>
      </c>
      <c r="R74" s="9"/>
    </row>
    <row r="75" spans="1:18" x14ac:dyDescent="0.25">
      <c r="A75" s="43" t="s">
        <v>365</v>
      </c>
      <c r="B75" s="43" t="s">
        <v>156</v>
      </c>
      <c r="C75" s="60">
        <f>IF(VLOOKUP(B75,'[1]UT Rate Study HCBS Survey'!$B$6:$FG$139,129,0)=0,"",VLOOKUP(B75,'[1]UT Rate Study HCBS Survey'!$B$6:$FG$139,129,0))</f>
        <v>3658481</v>
      </c>
      <c r="D75" s="61">
        <f>IF(VLOOKUP(B75,'[1]UT Rate Study HCBS Survey'!$B$6:$FG$139,130,0)=0,"",VLOOKUP(B75,'[1]UT Rate Study HCBS Survey'!$B$6:$FG$139,130,0))</f>
        <v>262978</v>
      </c>
      <c r="E75" s="36">
        <f t="shared" si="7"/>
        <v>13.911737864003832</v>
      </c>
      <c r="F75" s="60">
        <f>IF(VLOOKUP(B75,'[1]UT Rate Study HCBS Survey'!$B$6:$FG$139,140,0)=0,"",VLOOKUP(B75,'[1]UT Rate Study HCBS Survey'!$B$6:$FG$139,140,0))</f>
        <v>2786365</v>
      </c>
      <c r="G75" s="60">
        <f>IF(VLOOKUP(B75,'[1]UT Rate Study HCBS Survey'!$B$6:$FG$139,139,0)=0,"",VLOOKUP(B75,'[1]UT Rate Study HCBS Survey'!$B$6:$FG$139,139,0))</f>
        <v>17871935</v>
      </c>
      <c r="H75" s="37">
        <f t="shared" si="8"/>
        <v>0.1559072926350728</v>
      </c>
      <c r="I75" s="60" t="str">
        <f>IF(VLOOKUP(B75,'[1]UT Rate Study HCBS Survey'!$B$6:$FG$139,133,0)=0,"",VLOOKUP(B75,'[1]UT Rate Study HCBS Survey'!$B$6:$FG$139,133,0))</f>
        <v/>
      </c>
      <c r="J75" s="60" t="str">
        <f>IF(VLOOKUP(B75,'[1]UT Rate Study HCBS Survey'!$B$6:$FG$139,131,0)=0,"",VLOOKUP(B75,'[1]UT Rate Study HCBS Survey'!$B$6:$FG$139,131,0))</f>
        <v/>
      </c>
      <c r="K75" s="60" t="str">
        <f>IF(VLOOKUP(B75,'[1]UT Rate Study HCBS Survey'!$B$6:$FG$139,134,0)=0,"",VLOOKUP(B75,'[1]UT Rate Study HCBS Survey'!$B$6:$FG$139,134,0))</f>
        <v/>
      </c>
      <c r="L75" s="60" t="str">
        <f>IF(VLOOKUP(B75,'[1]UT Rate Study HCBS Survey'!$B$6:$FG$139,135,0)=0,"",VLOOKUP(B75,'[1]UT Rate Study HCBS Survey'!$B$6:$FG$139,135,0))</f>
        <v/>
      </c>
      <c r="M75" s="37" t="str">
        <f t="shared" si="9"/>
        <v/>
      </c>
      <c r="N75" s="60">
        <f>IF(VLOOKUP(B75,'[1]UT Rate Study HCBS Survey'!$B$6:$FG$139,138,0)=0,"",VLOOKUP(B75,'[1]UT Rate Study HCBS Survey'!$B$6:$FG$139,138,0))</f>
        <v>23377549</v>
      </c>
      <c r="O75" s="60">
        <f>IF(VLOOKUP(B75,'[1]UT Rate Study HCBS Survey'!$B$6:$FG$139,141,0)=0,"",VLOOKUP(B75,'[1]UT Rate Study HCBS Survey'!$B$6:$FG$139,141,0))</f>
        <v>1187522</v>
      </c>
      <c r="P75" s="37">
        <f t="shared" si="10"/>
        <v>5.0797540837151066E-2</v>
      </c>
      <c r="Q75" s="36">
        <f>IFERROR((E75+(E75*H75))/(1-P75),"")</f>
        <v>16.941253254244504</v>
      </c>
      <c r="R75" s="9"/>
    </row>
    <row r="76" spans="1:18" x14ac:dyDescent="0.25">
      <c r="A76" s="43" t="s">
        <v>365</v>
      </c>
      <c r="B76" s="43" t="s">
        <v>157</v>
      </c>
      <c r="C76" s="60">
        <f>IF(VLOOKUP(B76,'[1]UT Rate Study HCBS Survey'!$B$6:$FG$139,129,0)=0,"",VLOOKUP(B76,'[1]UT Rate Study HCBS Survey'!$B$6:$FG$139,129,0))</f>
        <v>53947</v>
      </c>
      <c r="D76" s="61">
        <f>IF(VLOOKUP(B76,'[1]UT Rate Study HCBS Survey'!$B$6:$FG$139,130,0)=0,"",VLOOKUP(B76,'[1]UT Rate Study HCBS Survey'!$B$6:$FG$139,130,0))</f>
        <v>2629.5</v>
      </c>
      <c r="E76" s="36">
        <f t="shared" si="7"/>
        <v>20.516067693477847</v>
      </c>
      <c r="F76" s="60">
        <f>IF(VLOOKUP(B76,'[1]UT Rate Study HCBS Survey'!$B$6:$FG$139,140,0)=0,"",VLOOKUP(B76,'[1]UT Rate Study HCBS Survey'!$B$6:$FG$139,140,0))</f>
        <v>337735</v>
      </c>
      <c r="G76" s="60">
        <f>IF(VLOOKUP(B76,'[1]UT Rate Study HCBS Survey'!$B$6:$FG$139,139,0)=0,"",VLOOKUP(B76,'[1]UT Rate Study HCBS Survey'!$B$6:$FG$139,139,0))</f>
        <v>929499</v>
      </c>
      <c r="H76" s="37">
        <f t="shared" si="8"/>
        <v>0.36335165503136635</v>
      </c>
      <c r="I76" s="60" t="str">
        <f>IF(VLOOKUP(B76,'[1]UT Rate Study HCBS Survey'!$B$6:$FG$139,133,0)=0,"",VLOOKUP(B76,'[1]UT Rate Study HCBS Survey'!$B$6:$FG$139,133,0))</f>
        <v/>
      </c>
      <c r="J76" s="60">
        <f>IF(VLOOKUP(B76,'[1]UT Rate Study HCBS Survey'!$B$6:$FG$139,131,0)=0,"",VLOOKUP(B76,'[1]UT Rate Study HCBS Survey'!$B$6:$FG$139,131,0))</f>
        <v>12741.91</v>
      </c>
      <c r="K76" s="60">
        <f>IF(VLOOKUP(B76,'[1]UT Rate Study HCBS Survey'!$B$6:$FG$139,134,0)=0,"",VLOOKUP(B76,'[1]UT Rate Study HCBS Survey'!$B$6:$FG$139,134,0))</f>
        <v>28675.29</v>
      </c>
      <c r="L76" s="60">
        <f>IF(VLOOKUP(B76,'[1]UT Rate Study HCBS Survey'!$B$6:$FG$139,135,0)=0,"",VLOOKUP(B76,'[1]UT Rate Study HCBS Survey'!$B$6:$FG$139,135,0))</f>
        <v>17130.560000000001</v>
      </c>
      <c r="M76" s="37">
        <f t="shared" si="9"/>
        <v>1.0852829629080394</v>
      </c>
      <c r="N76" s="60">
        <f>IF(VLOOKUP(B76,'[1]UT Rate Study HCBS Survey'!$B$6:$FG$139,138,0)=0,"",VLOOKUP(B76,'[1]UT Rate Study HCBS Survey'!$B$6:$FG$139,138,0))</f>
        <v>1591444</v>
      </c>
      <c r="O76" s="60">
        <f>IF(VLOOKUP(B76,'[1]UT Rate Study HCBS Survey'!$B$6:$FG$139,141,0)=0,"",VLOOKUP(B76,'[1]UT Rate Study HCBS Survey'!$B$6:$FG$139,141,0))</f>
        <v>440602.58</v>
      </c>
      <c r="P76" s="37">
        <f t="shared" si="10"/>
        <v>0.27685710587365941</v>
      </c>
      <c r="Q76" s="36">
        <f t="shared" si="11"/>
        <v>69.469469984809521</v>
      </c>
      <c r="R76" s="9"/>
    </row>
    <row r="77" spans="1:18" x14ac:dyDescent="0.25">
      <c r="A77" s="43" t="s">
        <v>365</v>
      </c>
      <c r="B77" s="43" t="s">
        <v>158</v>
      </c>
      <c r="C77" s="60">
        <f>IF(VLOOKUP(B77,'[1]UT Rate Study HCBS Survey'!$B$6:$FG$139,129,0)=0,"",VLOOKUP(B77,'[1]UT Rate Study HCBS Survey'!$B$6:$FG$139,129,0))</f>
        <v>114193.55</v>
      </c>
      <c r="D77" s="61">
        <f>IF(VLOOKUP(B77,'[1]UT Rate Study HCBS Survey'!$B$6:$FG$139,130,0)=0,"",VLOOKUP(B77,'[1]UT Rate Study HCBS Survey'!$B$6:$FG$139,130,0))</f>
        <v>11862.5</v>
      </c>
      <c r="E77" s="36">
        <f t="shared" si="7"/>
        <v>9.6264320337197056</v>
      </c>
      <c r="F77" s="60">
        <f>IF(VLOOKUP(B77,'[1]UT Rate Study HCBS Survey'!$B$6:$FG$139,140,0)=0,"",VLOOKUP(B77,'[1]UT Rate Study HCBS Survey'!$B$6:$FG$139,140,0))</f>
        <v>30213.19</v>
      </c>
      <c r="G77" s="60">
        <f>IF(VLOOKUP(B77,'[1]UT Rate Study HCBS Survey'!$B$6:$FG$139,139,0)=0,"",VLOOKUP(B77,'[1]UT Rate Study HCBS Survey'!$B$6:$FG$139,139,0))</f>
        <v>224219.51</v>
      </c>
      <c r="H77" s="37">
        <f t="shared" si="8"/>
        <v>0.13474826521563621</v>
      </c>
      <c r="I77" s="60">
        <f>IF(VLOOKUP(B77,'[1]UT Rate Study HCBS Survey'!$B$6:$FG$139,133,0)=0,"",VLOOKUP(B77,'[1]UT Rate Study HCBS Survey'!$B$6:$FG$139,133,0))</f>
        <v>72000</v>
      </c>
      <c r="J77" s="60">
        <f>IF(VLOOKUP(B77,'[1]UT Rate Study HCBS Survey'!$B$6:$FG$139,131,0)=0,"",VLOOKUP(B77,'[1]UT Rate Study HCBS Survey'!$B$6:$FG$139,131,0))</f>
        <v>110025.96</v>
      </c>
      <c r="K77" s="60" t="str">
        <f>IF(VLOOKUP(B77,'[1]UT Rate Study HCBS Survey'!$B$6:$FG$139,134,0)=0,"",VLOOKUP(B77,'[1]UT Rate Study HCBS Survey'!$B$6:$FG$139,134,0))</f>
        <v/>
      </c>
      <c r="L77" s="60">
        <f>IF(VLOOKUP(B77,'[1]UT Rate Study HCBS Survey'!$B$6:$FG$139,135,0)=0,"",VLOOKUP(B77,'[1]UT Rate Study HCBS Survey'!$B$6:$FG$139,135,0))</f>
        <v>5000</v>
      </c>
      <c r="M77" s="37">
        <f t="shared" si="9"/>
        <v>0.61777628709480004</v>
      </c>
      <c r="N77" s="60">
        <f>IF(VLOOKUP(B77,'[1]UT Rate Study HCBS Survey'!$B$6:$FG$139,138,0)=0,"",VLOOKUP(B77,'[1]UT Rate Study HCBS Survey'!$B$6:$FG$139,138,0))</f>
        <v>787871.69</v>
      </c>
      <c r="O77" s="60">
        <f>IF(VLOOKUP(B77,'[1]UT Rate Study HCBS Survey'!$B$6:$FG$139,141,0)=0,"",VLOOKUP(B77,'[1]UT Rate Study HCBS Survey'!$B$6:$FG$139,141,0))</f>
        <v>422845.68</v>
      </c>
      <c r="P77" s="37">
        <f t="shared" si="10"/>
        <v>0.53669358268222589</v>
      </c>
      <c r="Q77" s="36">
        <f t="shared" si="11"/>
        <v>36.413392648240048</v>
      </c>
      <c r="R77" s="9"/>
    </row>
    <row r="78" spans="1:18" x14ac:dyDescent="0.25">
      <c r="A78" s="43" t="s">
        <v>365</v>
      </c>
      <c r="B78" s="43" t="s">
        <v>159</v>
      </c>
      <c r="C78" s="60">
        <f>IF(VLOOKUP(B78,'[1]UT Rate Study HCBS Survey'!$B$6:$FG$139,129,0)=0,"",VLOOKUP(B78,'[1]UT Rate Study HCBS Survey'!$B$6:$FG$139,129,0))</f>
        <v>385233</v>
      </c>
      <c r="D78" s="61">
        <f>IF(VLOOKUP(B78,'[1]UT Rate Study HCBS Survey'!$B$6:$FG$139,130,0)=0,"",VLOOKUP(B78,'[1]UT Rate Study HCBS Survey'!$B$6:$FG$139,130,0))</f>
        <v>7815</v>
      </c>
      <c r="E78" s="36">
        <f t="shared" si="7"/>
        <v>49.294049904030707</v>
      </c>
      <c r="F78" s="60">
        <f>IF(VLOOKUP(B78,'[1]UT Rate Study HCBS Survey'!$B$6:$FG$139,140,0)=0,"",VLOOKUP(B78,'[1]UT Rate Study HCBS Survey'!$B$6:$FG$139,140,0))</f>
        <v>55081</v>
      </c>
      <c r="G78" s="60">
        <f>IF(VLOOKUP(B78,'[1]UT Rate Study HCBS Survey'!$B$6:$FG$139,139,0)=0,"",VLOOKUP(B78,'[1]UT Rate Study HCBS Survey'!$B$6:$FG$139,139,0))</f>
        <v>461328</v>
      </c>
      <c r="H78" s="37">
        <f t="shared" si="8"/>
        <v>0.11939661152152048</v>
      </c>
      <c r="I78" s="60">
        <f>IF(VLOOKUP(B78,'[1]UT Rate Study HCBS Survey'!$B$6:$FG$139,133,0)=0,"",VLOOKUP(B78,'[1]UT Rate Study HCBS Survey'!$B$6:$FG$139,133,0))</f>
        <v>1483720</v>
      </c>
      <c r="J78" s="60">
        <f>IF(VLOOKUP(B78,'[1]UT Rate Study HCBS Survey'!$B$6:$FG$139,131,0)=0,"",VLOOKUP(B78,'[1]UT Rate Study HCBS Survey'!$B$6:$FG$139,131,0))</f>
        <v>110034</v>
      </c>
      <c r="K78" s="60" t="str">
        <f>IF(VLOOKUP(B78,'[1]UT Rate Study HCBS Survey'!$B$6:$FG$139,134,0)=0,"",VLOOKUP(B78,'[1]UT Rate Study HCBS Survey'!$B$6:$FG$139,134,0))</f>
        <v/>
      </c>
      <c r="L78" s="60">
        <f>IF(VLOOKUP(B78,'[1]UT Rate Study HCBS Survey'!$B$6:$FG$139,135,0)=0,"",VLOOKUP(B78,'[1]UT Rate Study HCBS Survey'!$B$6:$FG$139,135,0))</f>
        <v>9153</v>
      </c>
      <c r="M78" s="37">
        <f t="shared" si="9"/>
        <v>6.3772069174559229E-2</v>
      </c>
      <c r="N78" s="60">
        <f>IF(VLOOKUP(B78,'[1]UT Rate Study HCBS Survey'!$B$6:$FG$139,138,0)=0,"",VLOOKUP(B78,'[1]UT Rate Study HCBS Survey'!$B$6:$FG$139,138,0))</f>
        <v>2924852</v>
      </c>
      <c r="O78" s="60">
        <f>IF(VLOOKUP(B78,'[1]UT Rate Study HCBS Survey'!$B$6:$FG$139,141,0)=0,"",VLOOKUP(B78,'[1]UT Rate Study HCBS Survey'!$B$6:$FG$139,141,0))</f>
        <v>925843</v>
      </c>
      <c r="P78" s="37">
        <f t="shared" si="10"/>
        <v>0.31654353792944051</v>
      </c>
      <c r="Q78" s="36">
        <f t="shared" si="11"/>
        <v>85.335612768114402</v>
      </c>
      <c r="R78" s="9"/>
    </row>
    <row r="79" spans="1:18" x14ac:dyDescent="0.25">
      <c r="A79" s="43" t="s">
        <v>365</v>
      </c>
      <c r="B79" s="43" t="s">
        <v>160</v>
      </c>
      <c r="C79" s="60">
        <f>IF(VLOOKUP(B79,'[1]UT Rate Study HCBS Survey'!$B$6:$FG$139,129,0)=0,"",VLOOKUP(B79,'[1]UT Rate Study HCBS Survey'!$B$6:$FG$139,129,0))</f>
        <v>573299</v>
      </c>
      <c r="D79" s="61">
        <f>IF(VLOOKUP(B79,'[1]UT Rate Study HCBS Survey'!$B$6:$FG$139,130,0)=0,"",VLOOKUP(B79,'[1]UT Rate Study HCBS Survey'!$B$6:$FG$139,130,0))</f>
        <v>17763</v>
      </c>
      <c r="E79" s="36">
        <f t="shared" si="7"/>
        <v>32.274897258346002</v>
      </c>
      <c r="F79" s="60">
        <f>IF(VLOOKUP(B79,'[1]UT Rate Study HCBS Survey'!$B$6:$FG$139,140,0)=0,"",VLOOKUP(B79,'[1]UT Rate Study HCBS Survey'!$B$6:$FG$139,140,0))</f>
        <v>185942</v>
      </c>
      <c r="G79" s="60">
        <f>IF(VLOOKUP(B79,'[1]UT Rate Study HCBS Survey'!$B$6:$FG$139,139,0)=0,"",VLOOKUP(B79,'[1]UT Rate Study HCBS Survey'!$B$6:$FG$139,139,0))</f>
        <v>686740</v>
      </c>
      <c r="H79" s="37">
        <f t="shared" si="8"/>
        <v>0.27076040422867459</v>
      </c>
      <c r="I79" s="60" t="str">
        <f>IF(VLOOKUP(B79,'[1]UT Rate Study HCBS Survey'!$B$6:$FG$139,133,0)=0,"",VLOOKUP(B79,'[1]UT Rate Study HCBS Survey'!$B$6:$FG$139,133,0))</f>
        <v/>
      </c>
      <c r="J79" s="60">
        <f>IF(VLOOKUP(B79,'[1]UT Rate Study HCBS Survey'!$B$6:$FG$139,131,0)=0,"",VLOOKUP(B79,'[1]UT Rate Study HCBS Survey'!$B$6:$FG$139,131,0))</f>
        <v>113441</v>
      </c>
      <c r="K79" s="60">
        <f>IF(VLOOKUP(B79,'[1]UT Rate Study HCBS Survey'!$B$6:$FG$139,134,0)=0,"",VLOOKUP(B79,'[1]UT Rate Study HCBS Survey'!$B$6:$FG$139,134,0))</f>
        <v>14360</v>
      </c>
      <c r="L79" s="60">
        <f>IF(VLOOKUP(B79,'[1]UT Rate Study HCBS Survey'!$B$6:$FG$139,135,0)=0,"",VLOOKUP(B79,'[1]UT Rate Study HCBS Survey'!$B$6:$FG$139,135,0))</f>
        <v>24806</v>
      </c>
      <c r="M79" s="37">
        <f t="shared" si="9"/>
        <v>0.26619094050399528</v>
      </c>
      <c r="N79" s="60">
        <f>IF(VLOOKUP(B79,'[1]UT Rate Study HCBS Survey'!$B$6:$FG$139,138,0)=0,"",VLOOKUP(B79,'[1]UT Rate Study HCBS Survey'!$B$6:$FG$139,138,0))</f>
        <v>911848</v>
      </c>
      <c r="O79" s="60">
        <f>IF(VLOOKUP(B79,'[1]UT Rate Study HCBS Survey'!$B$6:$FG$139,141,0)=0,"",VLOOKUP(B79,'[1]UT Rate Study HCBS Survey'!$B$6:$FG$139,141,0))</f>
        <v>261077</v>
      </c>
      <c r="P79" s="37">
        <f t="shared" si="10"/>
        <v>0.28631635974416791</v>
      </c>
      <c r="Q79" s="36">
        <f t="shared" si="11"/>
        <v>69.505511888351407</v>
      </c>
      <c r="R79" s="9"/>
    </row>
    <row r="80" spans="1:18" x14ac:dyDescent="0.25">
      <c r="A80" s="43" t="s">
        <v>365</v>
      </c>
      <c r="B80" s="43" t="s">
        <v>161</v>
      </c>
      <c r="C80" s="60">
        <f>IF(VLOOKUP(B80,'[1]UT Rate Study HCBS Survey'!$B$6:$FG$139,129,0)=0,"",VLOOKUP(B80,'[1]UT Rate Study HCBS Survey'!$B$6:$FG$139,129,0))</f>
        <v>576470.36</v>
      </c>
      <c r="D80" s="61">
        <f>IF(VLOOKUP(B80,'[1]UT Rate Study HCBS Survey'!$B$6:$FG$139,130,0)=0,"",VLOOKUP(B80,'[1]UT Rate Study HCBS Survey'!$B$6:$FG$139,130,0))</f>
        <v>35071</v>
      </c>
      <c r="E80" s="36">
        <f t="shared" si="7"/>
        <v>16.43723760371817</v>
      </c>
      <c r="F80" s="60">
        <f>IF(VLOOKUP(B80,'[1]UT Rate Study HCBS Survey'!$B$6:$FG$139,140,0)=0,"",VLOOKUP(B80,'[1]UT Rate Study HCBS Survey'!$B$6:$FG$139,140,0))</f>
        <v>105814.93</v>
      </c>
      <c r="G80" s="60">
        <f>IF(VLOOKUP(B80,'[1]UT Rate Study HCBS Survey'!$B$6:$FG$139,139,0)=0,"",VLOOKUP(B80,'[1]UT Rate Study HCBS Survey'!$B$6:$FG$139,139,0))</f>
        <v>748173.71</v>
      </c>
      <c r="H80" s="37">
        <f t="shared" si="8"/>
        <v>0.14143096527676707</v>
      </c>
      <c r="I80" s="60" t="str">
        <f>IF(VLOOKUP(B80,'[1]UT Rate Study HCBS Survey'!$B$6:$FG$139,133,0)=0,"",VLOOKUP(B80,'[1]UT Rate Study HCBS Survey'!$B$6:$FG$139,133,0))</f>
        <v/>
      </c>
      <c r="J80" s="60">
        <f>IF(VLOOKUP(B80,'[1]UT Rate Study HCBS Survey'!$B$6:$FG$139,131,0)=0,"",VLOOKUP(B80,'[1]UT Rate Study HCBS Survey'!$B$6:$FG$139,131,0))</f>
        <v>160583.35</v>
      </c>
      <c r="K80" s="60">
        <f>IF(VLOOKUP(B80,'[1]UT Rate Study HCBS Survey'!$B$6:$FG$139,134,0)=0,"",VLOOKUP(B80,'[1]UT Rate Study HCBS Survey'!$B$6:$FG$139,134,0))</f>
        <v>11120</v>
      </c>
      <c r="L80" s="60" t="str">
        <f>IF(VLOOKUP(B80,'[1]UT Rate Study HCBS Survey'!$B$6:$FG$139,135,0)=0,"",VLOOKUP(B80,'[1]UT Rate Study HCBS Survey'!$B$6:$FG$139,135,0))</f>
        <v/>
      </c>
      <c r="M80" s="37">
        <f t="shared" si="9"/>
        <v>0.29785286792542121</v>
      </c>
      <c r="N80" s="60">
        <f>IF(VLOOKUP(B80,'[1]UT Rate Study HCBS Survey'!$B$6:$FG$139,138,0)=0,"",VLOOKUP(B80,'[1]UT Rate Study HCBS Survey'!$B$6:$FG$139,138,0))</f>
        <v>748173.71</v>
      </c>
      <c r="O80" s="60">
        <f>IF(VLOOKUP(B80,'[1]UT Rate Study HCBS Survey'!$B$6:$FG$139,141,0)=0,"",VLOOKUP(B80,'[1]UT Rate Study HCBS Survey'!$B$6:$FG$139,141,0))</f>
        <v>145273.65</v>
      </c>
      <c r="P80" s="37">
        <f t="shared" si="10"/>
        <v>0.19417101678165088</v>
      </c>
      <c r="Q80" s="36">
        <f t="shared" si="11"/>
        <v>29.358400899219404</v>
      </c>
      <c r="R80" s="9"/>
    </row>
    <row r="81" spans="1:18" x14ac:dyDescent="0.25">
      <c r="A81" s="43" t="s">
        <v>365</v>
      </c>
      <c r="B81" s="43" t="s">
        <v>162</v>
      </c>
      <c r="C81" s="60">
        <f>IF(VLOOKUP(B81,'[1]UT Rate Study HCBS Survey'!$B$6:$FG$139,129,0)=0,"",VLOOKUP(B81,'[1]UT Rate Study HCBS Survey'!$B$6:$FG$139,129,0))</f>
        <v>647530.18000000005</v>
      </c>
      <c r="D81" s="61">
        <f>IF(VLOOKUP(B81,'[1]UT Rate Study HCBS Survey'!$B$6:$FG$139,130,0)=0,"",VLOOKUP(B81,'[1]UT Rate Study HCBS Survey'!$B$6:$FG$139,130,0))</f>
        <v>32570.14</v>
      </c>
      <c r="E81" s="36">
        <f t="shared" si="7"/>
        <v>19.881099068042079</v>
      </c>
      <c r="F81" s="60">
        <f>IF(VLOOKUP(B81,'[1]UT Rate Study HCBS Survey'!$B$6:$FG$139,140,0)=0,"",VLOOKUP(B81,'[1]UT Rate Study HCBS Survey'!$B$6:$FG$139,140,0))</f>
        <v>140569.20000000001</v>
      </c>
      <c r="G81" s="60">
        <f>IF(VLOOKUP(B81,'[1]UT Rate Study HCBS Survey'!$B$6:$FG$139,139,0)=0,"",VLOOKUP(B81,'[1]UT Rate Study HCBS Survey'!$B$6:$FG$139,139,0))</f>
        <v>871952.08</v>
      </c>
      <c r="H81" s="37">
        <f t="shared" si="8"/>
        <v>0.16121207027799053</v>
      </c>
      <c r="I81" s="60" t="str">
        <f>IF(VLOOKUP(B81,'[1]UT Rate Study HCBS Survey'!$B$6:$FG$139,133,0)=0,"",VLOOKUP(B81,'[1]UT Rate Study HCBS Survey'!$B$6:$FG$139,133,0))</f>
        <v/>
      </c>
      <c r="J81" s="60">
        <f>IF(VLOOKUP(B81,'[1]UT Rate Study HCBS Survey'!$B$6:$FG$139,131,0)=0,"",VLOOKUP(B81,'[1]UT Rate Study HCBS Survey'!$B$6:$FG$139,131,0))</f>
        <v>67890.600000000006</v>
      </c>
      <c r="K81" s="60">
        <f>IF(VLOOKUP(B81,'[1]UT Rate Study HCBS Survey'!$B$6:$FG$139,134,0)=0,"",VLOOKUP(B81,'[1]UT Rate Study HCBS Survey'!$B$6:$FG$139,134,0))</f>
        <v>7308</v>
      </c>
      <c r="L81" s="60">
        <f>IF(VLOOKUP(B81,'[1]UT Rate Study HCBS Survey'!$B$6:$FG$139,135,0)=0,"",VLOOKUP(B81,'[1]UT Rate Study HCBS Survey'!$B$6:$FG$139,135,0))</f>
        <v>402584.49</v>
      </c>
      <c r="M81" s="37">
        <f t="shared" si="9"/>
        <v>0.73785455065584726</v>
      </c>
      <c r="N81" s="60">
        <f>IF(VLOOKUP(B81,'[1]UT Rate Study HCBS Survey'!$B$6:$FG$139,138,0)=0,"",VLOOKUP(B81,'[1]UT Rate Study HCBS Survey'!$B$6:$FG$139,138,0))</f>
        <v>1225672.75</v>
      </c>
      <c r="O81" s="60">
        <f>IF(VLOOKUP(B81,'[1]UT Rate Study HCBS Survey'!$B$6:$FG$139,141,0)=0,"",VLOOKUP(B81,'[1]UT Rate Study HCBS Survey'!$B$6:$FG$139,141,0))</f>
        <v>213151.47</v>
      </c>
      <c r="P81" s="37">
        <f t="shared" si="10"/>
        <v>0.17390569383222398</v>
      </c>
      <c r="Q81" s="36">
        <f t="shared" si="11"/>
        <v>45.70365797912855</v>
      </c>
      <c r="R81" s="9"/>
    </row>
    <row r="82" spans="1:18" x14ac:dyDescent="0.25">
      <c r="A82" s="43" t="s">
        <v>365</v>
      </c>
      <c r="B82" s="43" t="s">
        <v>163</v>
      </c>
      <c r="C82" s="60">
        <f>IF(VLOOKUP(B82,'[1]UT Rate Study HCBS Survey'!$B$6:$FG$139,129,0)=0,"",VLOOKUP(B82,'[1]UT Rate Study HCBS Survey'!$B$6:$FG$139,129,0))</f>
        <v>169804</v>
      </c>
      <c r="D82" s="61">
        <f>IF(VLOOKUP(B82,'[1]UT Rate Study HCBS Survey'!$B$6:$FG$139,130,0)=0,"",VLOOKUP(B82,'[1]UT Rate Study HCBS Survey'!$B$6:$FG$139,130,0))</f>
        <v>9849.76</v>
      </c>
      <c r="E82" s="36">
        <f t="shared" si="7"/>
        <v>17.239404817985413</v>
      </c>
      <c r="F82" s="60">
        <f>IF(VLOOKUP(B82,'[1]UT Rate Study HCBS Survey'!$B$6:$FG$139,140,0)=0,"",VLOOKUP(B82,'[1]UT Rate Study HCBS Survey'!$B$6:$FG$139,140,0))</f>
        <v>29023</v>
      </c>
      <c r="G82" s="60">
        <f>IF(VLOOKUP(B82,'[1]UT Rate Study HCBS Survey'!$B$6:$FG$139,139,0)=0,"",VLOOKUP(B82,'[1]UT Rate Study HCBS Survey'!$B$6:$FG$139,139,0))</f>
        <v>296170</v>
      </c>
      <c r="H82" s="37">
        <f t="shared" si="8"/>
        <v>9.7994395110916024E-2</v>
      </c>
      <c r="I82" s="60" t="str">
        <f>IF(VLOOKUP(B82,'[1]UT Rate Study HCBS Survey'!$B$6:$FG$139,133,0)=0,"",VLOOKUP(B82,'[1]UT Rate Study HCBS Survey'!$B$6:$FG$139,133,0))</f>
        <v/>
      </c>
      <c r="J82" s="60" t="str">
        <f>IF(VLOOKUP(B82,'[1]UT Rate Study HCBS Survey'!$B$6:$FG$139,131,0)=0,"",VLOOKUP(B82,'[1]UT Rate Study HCBS Survey'!$B$6:$FG$139,131,0))</f>
        <v/>
      </c>
      <c r="K82" s="60">
        <f>IF(VLOOKUP(B82,'[1]UT Rate Study HCBS Survey'!$B$6:$FG$139,134,0)=0,"",VLOOKUP(B82,'[1]UT Rate Study HCBS Survey'!$B$6:$FG$139,134,0))</f>
        <v>1714</v>
      </c>
      <c r="L82" s="60">
        <f>IF(VLOOKUP(B82,'[1]UT Rate Study HCBS Survey'!$B$6:$FG$139,135,0)=0,"",VLOOKUP(B82,'[1]UT Rate Study HCBS Survey'!$B$6:$FG$139,135,0))</f>
        <v>6756</v>
      </c>
      <c r="M82" s="37">
        <f t="shared" si="9"/>
        <v>4.9881039315917176E-2</v>
      </c>
      <c r="N82" s="60">
        <f>IF(VLOOKUP(B82,'[1]UT Rate Study HCBS Survey'!$B$6:$FG$139,138,0)=0,"",VLOOKUP(B82,'[1]UT Rate Study HCBS Survey'!$B$6:$FG$139,138,0))</f>
        <v>489578</v>
      </c>
      <c r="O82" s="60">
        <f>IF(VLOOKUP(B82,'[1]UT Rate Study HCBS Survey'!$B$6:$FG$139,141,0)=0,"",VLOOKUP(B82,'[1]UT Rate Study HCBS Survey'!$B$6:$FG$139,141,0))</f>
        <v>189161</v>
      </c>
      <c r="P82" s="37">
        <f t="shared" si="10"/>
        <v>0.38637561328327663</v>
      </c>
      <c r="Q82" s="36">
        <f t="shared" si="11"/>
        <v>32.248863837675991</v>
      </c>
      <c r="R82" s="9"/>
    </row>
    <row r="83" spans="1:18" x14ac:dyDescent="0.25">
      <c r="A83" s="43" t="s">
        <v>365</v>
      </c>
      <c r="B83" s="43" t="s">
        <v>164</v>
      </c>
      <c r="C83" s="60">
        <f>IF(VLOOKUP(B83,'[1]UT Rate Study HCBS Survey'!$B$6:$FG$139,129,0)=0,"",VLOOKUP(B83,'[1]UT Rate Study HCBS Survey'!$B$6:$FG$139,129,0))</f>
        <v>365201.43</v>
      </c>
      <c r="D83" s="61">
        <f>IF(VLOOKUP(B83,'[1]UT Rate Study HCBS Survey'!$B$6:$FG$139,130,0)=0,"",VLOOKUP(B83,'[1]UT Rate Study HCBS Survey'!$B$6:$FG$139,130,0))</f>
        <v>16560</v>
      </c>
      <c r="E83" s="36">
        <f t="shared" si="7"/>
        <v>22.05322644927536</v>
      </c>
      <c r="F83" s="60">
        <f>IF(VLOOKUP(B83,'[1]UT Rate Study HCBS Survey'!$B$6:$FG$139,140,0)=0,"",VLOOKUP(B83,'[1]UT Rate Study HCBS Survey'!$B$6:$FG$139,140,0))</f>
        <v>27242.66</v>
      </c>
      <c r="G83" s="60">
        <f>IF(VLOOKUP(B83,'[1]UT Rate Study HCBS Survey'!$B$6:$FG$139,139,0)=0,"",VLOOKUP(B83,'[1]UT Rate Study HCBS Survey'!$B$6:$FG$139,139,0))</f>
        <v>365201.45</v>
      </c>
      <c r="H83" s="37">
        <f t="shared" si="8"/>
        <v>7.459625365671467E-2</v>
      </c>
      <c r="I83" s="60">
        <f>IF(VLOOKUP(B83,'[1]UT Rate Study HCBS Survey'!$B$6:$FG$139,133,0)=0,"",VLOOKUP(B83,'[1]UT Rate Study HCBS Survey'!$B$6:$FG$139,133,0))</f>
        <v>40959.199999999997</v>
      </c>
      <c r="J83" s="60">
        <f>IF(VLOOKUP(B83,'[1]UT Rate Study HCBS Survey'!$B$6:$FG$139,131,0)=0,"",VLOOKUP(B83,'[1]UT Rate Study HCBS Survey'!$B$6:$FG$139,131,0))</f>
        <v>93465.97</v>
      </c>
      <c r="K83" s="60">
        <f>IF(VLOOKUP(B83,'[1]UT Rate Study HCBS Survey'!$B$6:$FG$139,134,0)=0,"",VLOOKUP(B83,'[1]UT Rate Study HCBS Survey'!$B$6:$FG$139,134,0))</f>
        <v>11223.47</v>
      </c>
      <c r="L83" s="60">
        <f>IF(VLOOKUP(B83,'[1]UT Rate Study HCBS Survey'!$B$6:$FG$139,135,0)=0,"",VLOOKUP(B83,'[1]UT Rate Study HCBS Survey'!$B$6:$FG$139,135,0))</f>
        <v>2465479</v>
      </c>
      <c r="M83" s="37">
        <f t="shared" si="9"/>
        <v>6.3279605411287649</v>
      </c>
      <c r="N83" s="60">
        <f>IF(VLOOKUP(B83,'[1]UT Rate Study HCBS Survey'!$B$6:$FG$139,138,0)=0,"",VLOOKUP(B83,'[1]UT Rate Study HCBS Survey'!$B$6:$FG$139,138,0))</f>
        <v>508495</v>
      </c>
      <c r="O83" s="60">
        <f>IF(VLOOKUP(B83,'[1]UT Rate Study HCBS Survey'!$B$6:$FG$139,141,0)=0,"",VLOOKUP(B83,'[1]UT Rate Study HCBS Survey'!$B$6:$FG$139,141,0))</f>
        <v>30645.75</v>
      </c>
      <c r="P83" s="37">
        <f t="shared" si="10"/>
        <v>6.0267554253237494E-2</v>
      </c>
      <c r="Q83" s="36">
        <f t="shared" si="11"/>
        <v>173.71993702877697</v>
      </c>
      <c r="R83" s="9"/>
    </row>
    <row r="84" spans="1:18" x14ac:dyDescent="0.25">
      <c r="A84" s="43" t="s">
        <v>365</v>
      </c>
      <c r="B84" s="43" t="s">
        <v>165</v>
      </c>
      <c r="C84" s="60">
        <f>IF(VLOOKUP(B84,'[1]UT Rate Study HCBS Survey'!$B$6:$FG$139,129,0)=0,"",VLOOKUP(B84,'[1]UT Rate Study HCBS Survey'!$B$6:$FG$139,129,0))</f>
        <v>55570.15</v>
      </c>
      <c r="D84" s="61">
        <f>IF(VLOOKUP(B84,'[1]UT Rate Study HCBS Survey'!$B$6:$FG$139,130,0)=0,"",VLOOKUP(B84,'[1]UT Rate Study HCBS Survey'!$B$6:$FG$139,130,0))</f>
        <v>4200</v>
      </c>
      <c r="E84" s="36">
        <f t="shared" si="7"/>
        <v>13.230988095238095</v>
      </c>
      <c r="F84" s="60">
        <f>IF(VLOOKUP(B84,'[1]UT Rate Study HCBS Survey'!$B$6:$FG$139,140,0)=0,"",VLOOKUP(B84,'[1]UT Rate Study HCBS Survey'!$B$6:$FG$139,140,0))</f>
        <v>6009.91</v>
      </c>
      <c r="G84" s="60">
        <f>IF(VLOOKUP(B84,'[1]UT Rate Study HCBS Survey'!$B$6:$FG$139,139,0)=0,"",VLOOKUP(B84,'[1]UT Rate Study HCBS Survey'!$B$6:$FG$139,139,0))</f>
        <v>183095.56</v>
      </c>
      <c r="H84" s="37">
        <f t="shared" si="8"/>
        <v>3.2823898078140179E-2</v>
      </c>
      <c r="I84" s="60" t="str">
        <f>IF(VLOOKUP(B84,'[1]UT Rate Study HCBS Survey'!$B$6:$FG$139,133,0)=0,"",VLOOKUP(B84,'[1]UT Rate Study HCBS Survey'!$B$6:$FG$139,133,0))</f>
        <v/>
      </c>
      <c r="J84" s="60" t="str">
        <f>IF(VLOOKUP(B84,'[1]UT Rate Study HCBS Survey'!$B$6:$FG$139,131,0)=0,"",VLOOKUP(B84,'[1]UT Rate Study HCBS Survey'!$B$6:$FG$139,131,0))</f>
        <v/>
      </c>
      <c r="K84" s="60" t="str">
        <f>IF(VLOOKUP(B84,'[1]UT Rate Study HCBS Survey'!$B$6:$FG$139,134,0)=0,"",VLOOKUP(B84,'[1]UT Rate Study HCBS Survey'!$B$6:$FG$139,134,0))</f>
        <v/>
      </c>
      <c r="L84" s="60">
        <f>IF(VLOOKUP(B84,'[1]UT Rate Study HCBS Survey'!$B$6:$FG$139,135,0)=0,"",VLOOKUP(B84,'[1]UT Rate Study HCBS Survey'!$B$6:$FG$139,135,0))</f>
        <v>33733</v>
      </c>
      <c r="M84" s="37">
        <f t="shared" si="9"/>
        <v>0.60703453202843616</v>
      </c>
      <c r="N84" s="60">
        <f>IF(VLOOKUP(B84,'[1]UT Rate Study HCBS Survey'!$B$6:$FG$139,138,0)=0,"",VLOOKUP(B84,'[1]UT Rate Study HCBS Survey'!$B$6:$FG$139,138,0))</f>
        <v>236573.39</v>
      </c>
      <c r="O84" s="60">
        <f>IF(VLOOKUP(B84,'[1]UT Rate Study HCBS Survey'!$B$6:$FG$139,141,0)=0,"",VLOOKUP(B84,'[1]UT Rate Study HCBS Survey'!$B$6:$FG$139,141,0))</f>
        <v>11609</v>
      </c>
      <c r="P84" s="37">
        <f t="shared" si="10"/>
        <v>4.9071453048882628E-2</v>
      </c>
      <c r="Q84" s="36">
        <f t="shared" si="11"/>
        <v>22.816590622062037</v>
      </c>
      <c r="R84" s="9"/>
    </row>
    <row r="85" spans="1:18" x14ac:dyDescent="0.25">
      <c r="A85" s="43" t="s">
        <v>365</v>
      </c>
      <c r="B85" s="43" t="s">
        <v>166</v>
      </c>
      <c r="C85" s="60">
        <f>IF(VLOOKUP(B85,'[1]UT Rate Study HCBS Survey'!$B$6:$FG$139,129,0)=0,"",VLOOKUP(B85,'[1]UT Rate Study HCBS Survey'!$B$6:$FG$139,129,0))</f>
        <v>4684351</v>
      </c>
      <c r="D85" s="61">
        <f>IF(VLOOKUP(B85,'[1]UT Rate Study HCBS Survey'!$B$6:$FG$139,130,0)=0,"",VLOOKUP(B85,'[1]UT Rate Study HCBS Survey'!$B$6:$FG$139,130,0))</f>
        <v>279190</v>
      </c>
      <c r="E85" s="36">
        <f t="shared" si="7"/>
        <v>16.778362405530284</v>
      </c>
      <c r="F85" s="60">
        <f>IF(VLOOKUP(B85,'[1]UT Rate Study HCBS Survey'!$B$6:$FG$139,140,0)=0,"",VLOOKUP(B85,'[1]UT Rate Study HCBS Survey'!$B$6:$FG$139,140,0))</f>
        <v>1055011</v>
      </c>
      <c r="G85" s="60">
        <f>IF(VLOOKUP(B85,'[1]UT Rate Study HCBS Survey'!$B$6:$FG$139,139,0)=0,"",VLOOKUP(B85,'[1]UT Rate Study HCBS Survey'!$B$6:$FG$139,139,0))</f>
        <v>6455111</v>
      </c>
      <c r="H85" s="37">
        <f t="shared" si="8"/>
        <v>0.16343808805146806</v>
      </c>
      <c r="I85" s="60" t="str">
        <f>IF(VLOOKUP(B85,'[1]UT Rate Study HCBS Survey'!$B$6:$FG$139,133,0)=0,"",VLOOKUP(B85,'[1]UT Rate Study HCBS Survey'!$B$6:$FG$139,133,0))</f>
        <v/>
      </c>
      <c r="J85" s="60">
        <f>IF(VLOOKUP(B85,'[1]UT Rate Study HCBS Survey'!$B$6:$FG$139,131,0)=0,"",VLOOKUP(B85,'[1]UT Rate Study HCBS Survey'!$B$6:$FG$139,131,0))</f>
        <v>518903</v>
      </c>
      <c r="K85" s="60">
        <f>IF(VLOOKUP(B85,'[1]UT Rate Study HCBS Survey'!$B$6:$FG$139,134,0)=0,"",VLOOKUP(B85,'[1]UT Rate Study HCBS Survey'!$B$6:$FG$139,134,0))</f>
        <v>72505</v>
      </c>
      <c r="L85" s="60">
        <f>IF(VLOOKUP(B85,'[1]UT Rate Study HCBS Survey'!$B$6:$FG$139,135,0)=0,"",VLOOKUP(B85,'[1]UT Rate Study HCBS Survey'!$B$6:$FG$139,135,0))</f>
        <v>365291</v>
      </c>
      <c r="M85" s="37">
        <f t="shared" si="9"/>
        <v>0.20423298766467329</v>
      </c>
      <c r="N85" s="60">
        <f>IF(VLOOKUP(B85,'[1]UT Rate Study HCBS Survey'!$B$6:$FG$139,138,0)=0,"",VLOOKUP(B85,'[1]UT Rate Study HCBS Survey'!$B$6:$FG$139,138,0))</f>
        <v>8159696</v>
      </c>
      <c r="O85" s="60">
        <f>IF(VLOOKUP(B85,'[1]UT Rate Study HCBS Survey'!$B$6:$FG$139,141,0)=0,"",VLOOKUP(B85,'[1]UT Rate Study HCBS Survey'!$B$6:$FG$139,141,0))</f>
        <v>954426</v>
      </c>
      <c r="P85" s="37">
        <f t="shared" si="10"/>
        <v>0.11696832823183609</v>
      </c>
      <c r="Q85" s="36">
        <f t="shared" si="11"/>
        <v>25.986928548075426</v>
      </c>
      <c r="R85" s="9"/>
    </row>
    <row r="86" spans="1:18" x14ac:dyDescent="0.25">
      <c r="A86" s="43" t="s">
        <v>365</v>
      </c>
      <c r="B86" s="43" t="s">
        <v>167</v>
      </c>
      <c r="C86" s="60">
        <f>IF(VLOOKUP(B86,'[1]UT Rate Study HCBS Survey'!$B$6:$FG$139,129,0)=0,"",VLOOKUP(B86,'[1]UT Rate Study HCBS Survey'!$B$6:$FG$139,129,0))</f>
        <v>152441.92000000001</v>
      </c>
      <c r="D86" s="61">
        <f>IF(VLOOKUP(B86,'[1]UT Rate Study HCBS Survey'!$B$6:$FG$139,130,0)=0,"",VLOOKUP(B86,'[1]UT Rate Study HCBS Survey'!$B$6:$FG$139,130,0))</f>
        <v>10162</v>
      </c>
      <c r="E86" s="36">
        <f t="shared" si="7"/>
        <v>15.001172997441449</v>
      </c>
      <c r="F86" s="60">
        <f>IF(VLOOKUP(B86,'[1]UT Rate Study HCBS Survey'!$B$6:$FG$139,140,0)=0,"",VLOOKUP(B86,'[1]UT Rate Study HCBS Survey'!$B$6:$FG$139,140,0))</f>
        <v>33532.980000000003</v>
      </c>
      <c r="G86" s="60">
        <f>IF(VLOOKUP(B86,'[1]UT Rate Study HCBS Survey'!$B$6:$FG$139,139,0)=0,"",VLOOKUP(B86,'[1]UT Rate Study HCBS Survey'!$B$6:$FG$139,139,0))</f>
        <v>196441.92</v>
      </c>
      <c r="H86" s="37">
        <f t="shared" si="8"/>
        <v>0.17070175245690941</v>
      </c>
      <c r="I86" s="60" t="str">
        <f>IF(VLOOKUP(B86,'[1]UT Rate Study HCBS Survey'!$B$6:$FG$139,133,0)=0,"",VLOOKUP(B86,'[1]UT Rate Study HCBS Survey'!$B$6:$FG$139,133,0))</f>
        <v/>
      </c>
      <c r="J86" s="60">
        <f>IF(VLOOKUP(B86,'[1]UT Rate Study HCBS Survey'!$B$6:$FG$139,131,0)=0,"",VLOOKUP(B86,'[1]UT Rate Study HCBS Survey'!$B$6:$FG$139,131,0))</f>
        <v>44000</v>
      </c>
      <c r="K86" s="60" t="str">
        <f>IF(VLOOKUP(B86,'[1]UT Rate Study HCBS Survey'!$B$6:$FG$139,134,0)=0,"",VLOOKUP(B86,'[1]UT Rate Study HCBS Survey'!$B$6:$FG$139,134,0))</f>
        <v/>
      </c>
      <c r="L86" s="60">
        <f>IF(VLOOKUP(B86,'[1]UT Rate Study HCBS Survey'!$B$6:$FG$139,135,0)=0,"",VLOOKUP(B86,'[1]UT Rate Study HCBS Survey'!$B$6:$FG$139,135,0))</f>
        <v>44354.7</v>
      </c>
      <c r="M86" s="37">
        <f t="shared" si="9"/>
        <v>0.57959582246143315</v>
      </c>
      <c r="N86" s="60">
        <f>IF(VLOOKUP(B86,'[1]UT Rate Study HCBS Survey'!$B$6:$FG$139,138,0)=0,"",VLOOKUP(B86,'[1]UT Rate Study HCBS Survey'!$B$6:$FG$139,138,0))</f>
        <v>232491.32</v>
      </c>
      <c r="O86" s="60">
        <f>IF(VLOOKUP(B86,'[1]UT Rate Study HCBS Survey'!$B$6:$FG$139,141,0)=0,"",VLOOKUP(B86,'[1]UT Rate Study HCBS Survey'!$B$6:$FG$139,141,0))</f>
        <v>15739.24</v>
      </c>
      <c r="P86" s="37">
        <f t="shared" si="10"/>
        <v>6.7698183312822166E-2</v>
      </c>
      <c r="Q86" s="36">
        <f t="shared" si="11"/>
        <v>28.163107963954918</v>
      </c>
      <c r="R86" s="9"/>
    </row>
    <row r="87" spans="1:18" x14ac:dyDescent="0.25">
      <c r="A87" s="43" t="s">
        <v>365</v>
      </c>
      <c r="B87" s="43" t="s">
        <v>168</v>
      </c>
      <c r="C87" s="60">
        <f>IF(VLOOKUP(B87,'[1]UT Rate Study HCBS Survey'!$B$6:$FG$139,129,0)=0,"",VLOOKUP(B87,'[1]UT Rate Study HCBS Survey'!$B$6:$FG$139,129,0))</f>
        <v>55495</v>
      </c>
      <c r="D87" s="61">
        <v>2219</v>
      </c>
      <c r="E87" s="36">
        <f t="shared" si="7"/>
        <v>25.009013068949976</v>
      </c>
      <c r="F87" s="60">
        <f>IF(VLOOKUP(B87,'[1]UT Rate Study HCBS Survey'!$B$6:$FG$139,140,0)=0,"",VLOOKUP(B87,'[1]UT Rate Study HCBS Survey'!$B$6:$FG$139,140,0))</f>
        <v>51142</v>
      </c>
      <c r="G87" s="60">
        <f>IF(VLOOKUP(B87,'[1]UT Rate Study HCBS Survey'!$B$6:$FG$139,139,0)=0,"",VLOOKUP(B87,'[1]UT Rate Study HCBS Survey'!$B$6:$FG$139,139,0))</f>
        <v>80897</v>
      </c>
      <c r="H87" s="37">
        <f t="shared" si="8"/>
        <v>0.6321866076615944</v>
      </c>
      <c r="I87" s="60" t="str">
        <f>IF(VLOOKUP(B87,'[1]UT Rate Study HCBS Survey'!$B$6:$FG$139,133,0)=0,"",VLOOKUP(B87,'[1]UT Rate Study HCBS Survey'!$B$6:$FG$139,133,0))</f>
        <v/>
      </c>
      <c r="J87" s="60">
        <f>IF(VLOOKUP(B87,'[1]UT Rate Study HCBS Survey'!$B$6:$FG$139,131,0)=0,"",VLOOKUP(B87,'[1]UT Rate Study HCBS Survey'!$B$6:$FG$139,131,0))</f>
        <v>28996</v>
      </c>
      <c r="K87" s="60">
        <f>IF(VLOOKUP(B87,'[1]UT Rate Study HCBS Survey'!$B$6:$FG$139,134,0)=0,"",VLOOKUP(B87,'[1]UT Rate Study HCBS Survey'!$B$6:$FG$139,134,0))</f>
        <v>3716</v>
      </c>
      <c r="L87" s="60"/>
      <c r="M87" s="37">
        <f t="shared" si="9"/>
        <v>0.5894585097756555</v>
      </c>
      <c r="N87" s="60">
        <f>IF(VLOOKUP(B87,'[1]UT Rate Study HCBS Survey'!$B$6:$FG$139,138,0)=0,"",VLOOKUP(B87,'[1]UT Rate Study HCBS Survey'!$B$6:$FG$139,138,0))</f>
        <v>196154</v>
      </c>
      <c r="O87" s="60">
        <f>IF(VLOOKUP(B87,'[1]UT Rate Study HCBS Survey'!$B$6:$FG$139,141,0)=0,"",VLOOKUP(B87,'[1]UT Rate Study HCBS Survey'!$B$6:$FG$139,141,0))</f>
        <v>11122</v>
      </c>
      <c r="P87" s="37">
        <f t="shared" si="10"/>
        <v>5.6700347686001816E-2</v>
      </c>
      <c r="Q87" s="36">
        <f t="shared" si="11"/>
        <v>58.90085047764051</v>
      </c>
      <c r="R87" s="9"/>
    </row>
    <row r="88" spans="1:18" x14ac:dyDescent="0.25">
      <c r="A88" s="43" t="s">
        <v>365</v>
      </c>
      <c r="B88" s="43" t="s">
        <v>360</v>
      </c>
      <c r="C88" s="60"/>
      <c r="D88" s="61"/>
      <c r="E88" s="36">
        <v>18</v>
      </c>
      <c r="F88" s="60"/>
      <c r="G88" s="60"/>
      <c r="H88" s="37">
        <v>0.2</v>
      </c>
      <c r="I88" s="60"/>
      <c r="J88" s="60"/>
      <c r="K88" s="60"/>
      <c r="L88" s="60">
        <v>47532</v>
      </c>
      <c r="M88" s="37">
        <f>1.45-M87</f>
        <v>0.86054149022434445</v>
      </c>
      <c r="N88" s="60"/>
      <c r="O88" s="60"/>
      <c r="P88" s="37">
        <v>0.06</v>
      </c>
      <c r="Q88" s="36">
        <f t="shared" si="11"/>
        <v>39.457177472381069</v>
      </c>
      <c r="R88" s="9"/>
    </row>
    <row r="89" spans="1:18" x14ac:dyDescent="0.25">
      <c r="A89" s="43" t="s">
        <v>365</v>
      </c>
      <c r="B89" s="43" t="s">
        <v>169</v>
      </c>
      <c r="C89" s="60">
        <f>IF(VLOOKUP(B89,'[1]UT Rate Study HCBS Survey'!$B$6:$FG$139,129,0)=0,"",VLOOKUP(B89,'[1]UT Rate Study HCBS Survey'!$B$6:$FG$139,129,0))</f>
        <v>3673.2</v>
      </c>
      <c r="D89" s="61">
        <f>IF(VLOOKUP(B89,'[1]UT Rate Study HCBS Survey'!$B$6:$FG$139,130,0)=0,"",VLOOKUP(B89,'[1]UT Rate Study HCBS Survey'!$B$6:$FG$139,130,0))</f>
        <v>194.73</v>
      </c>
      <c r="E89" s="36">
        <f t="shared" si="7"/>
        <v>18.863041133877676</v>
      </c>
      <c r="F89" s="60" t="str">
        <f>IF(VLOOKUP(B89,'[1]UT Rate Study HCBS Survey'!$B$6:$FG$139,140,0)=0,"",VLOOKUP(B89,'[1]UT Rate Study HCBS Survey'!$B$6:$FG$139,140,0))</f>
        <v/>
      </c>
      <c r="G89" s="60" t="str">
        <f>IF(VLOOKUP(B89,'[1]UT Rate Study HCBS Survey'!$B$6:$FG$139,139,0)=0,"",VLOOKUP(B89,'[1]UT Rate Study HCBS Survey'!$B$6:$FG$139,139,0))</f>
        <v/>
      </c>
      <c r="H89" s="37" t="str">
        <f t="shared" si="8"/>
        <v/>
      </c>
      <c r="I89" s="60" t="str">
        <f>IF(VLOOKUP(B89,'[1]UT Rate Study HCBS Survey'!$B$6:$FG$139,133,0)=0,"",VLOOKUP(B89,'[1]UT Rate Study HCBS Survey'!$B$6:$FG$139,133,0))</f>
        <v/>
      </c>
      <c r="J89" s="60">
        <f>IF(VLOOKUP(B89,'[1]UT Rate Study HCBS Survey'!$B$6:$FG$139,131,0)=0,"",VLOOKUP(B89,'[1]UT Rate Study HCBS Survey'!$B$6:$FG$139,131,0))</f>
        <v>367.21</v>
      </c>
      <c r="K89" s="60" t="str">
        <f>IF(VLOOKUP(B89,'[1]UT Rate Study HCBS Survey'!$B$6:$FG$139,134,0)=0,"",VLOOKUP(B89,'[1]UT Rate Study HCBS Survey'!$B$6:$FG$139,134,0))</f>
        <v/>
      </c>
      <c r="L89" s="60" t="str">
        <f>IF(VLOOKUP(B89,'[1]UT Rate Study HCBS Survey'!$B$6:$FG$139,135,0)=0,"",VLOOKUP(B89,'[1]UT Rate Study HCBS Survey'!$B$6:$FG$139,135,0))</f>
        <v/>
      </c>
      <c r="M89" s="37">
        <f t="shared" si="9"/>
        <v>9.9970053359468583E-2</v>
      </c>
      <c r="N89" s="60" t="str">
        <f>IF(VLOOKUP(B89,'[1]UT Rate Study HCBS Survey'!$B$6:$FG$139,138,0)=0,"",VLOOKUP(B89,'[1]UT Rate Study HCBS Survey'!$B$6:$FG$139,138,0))</f>
        <v/>
      </c>
      <c r="O89" s="60" t="str">
        <f>IF(VLOOKUP(B89,'[1]UT Rate Study HCBS Survey'!$B$6:$FG$139,141,0)=0,"",VLOOKUP(B89,'[1]UT Rate Study HCBS Survey'!$B$6:$FG$139,141,0))</f>
        <v/>
      </c>
      <c r="P89" s="37" t="str">
        <f t="shared" si="10"/>
        <v/>
      </c>
      <c r="Q89" s="36">
        <f t="shared" ref="Q89:Q117" si="12">IFERROR(E89*(1+SUM(H89,M89,P89)),"")</f>
        <v>20.748780362553276</v>
      </c>
      <c r="R89" s="9"/>
    </row>
    <row r="90" spans="1:18" x14ac:dyDescent="0.25">
      <c r="A90" s="43" t="s">
        <v>365</v>
      </c>
      <c r="B90" s="43" t="s">
        <v>170</v>
      </c>
      <c r="C90" s="60">
        <f>IF(VLOOKUP(B90,'[1]UT Rate Study HCBS Survey'!$B$6:$FG$139,129,0)=0,"",VLOOKUP(B90,'[1]UT Rate Study HCBS Survey'!$B$6:$FG$139,129,0))</f>
        <v>428600</v>
      </c>
      <c r="D90" s="61">
        <f>IF(VLOOKUP(B90,'[1]UT Rate Study HCBS Survey'!$B$6:$FG$139,130,0)=0,"",VLOOKUP(B90,'[1]UT Rate Study HCBS Survey'!$B$6:$FG$139,130,0))</f>
        <v>20440</v>
      </c>
      <c r="E90" s="36">
        <f t="shared" si="7"/>
        <v>20.968688845401175</v>
      </c>
      <c r="F90" s="60">
        <f>IF(VLOOKUP(B90,'[1]UT Rate Study HCBS Survey'!$B$6:$FG$139,140,0)=0,"",VLOOKUP(B90,'[1]UT Rate Study HCBS Survey'!$B$6:$FG$139,140,0))</f>
        <v>478600</v>
      </c>
      <c r="G90" s="60">
        <f>IF(VLOOKUP(B90,'[1]UT Rate Study HCBS Survey'!$B$6:$FG$139,139,0)=0,"",VLOOKUP(B90,'[1]UT Rate Study HCBS Survey'!$B$6:$FG$139,139,0))</f>
        <v>478600</v>
      </c>
      <c r="H90" s="37">
        <f t="shared" si="8"/>
        <v>1</v>
      </c>
      <c r="I90" s="60" t="str">
        <f>IF(VLOOKUP(B90,'[1]UT Rate Study HCBS Survey'!$B$6:$FG$139,133,0)=0,"",VLOOKUP(B90,'[1]UT Rate Study HCBS Survey'!$B$6:$FG$139,133,0))</f>
        <v/>
      </c>
      <c r="J90" s="60">
        <f>IF(VLOOKUP(B90,'[1]UT Rate Study HCBS Survey'!$B$6:$FG$139,131,0)=0,"",VLOOKUP(B90,'[1]UT Rate Study HCBS Survey'!$B$6:$FG$139,131,0))</f>
        <v>50000</v>
      </c>
      <c r="K90" s="60" t="str">
        <f>IF(VLOOKUP(B90,'[1]UT Rate Study HCBS Survey'!$B$6:$FG$139,134,0)=0,"",VLOOKUP(B90,'[1]UT Rate Study HCBS Survey'!$B$6:$FG$139,134,0))</f>
        <v/>
      </c>
      <c r="L90" s="60" t="str">
        <f>IF(VLOOKUP(B90,'[1]UT Rate Study HCBS Survey'!$B$6:$FG$139,135,0)=0,"",VLOOKUP(B90,'[1]UT Rate Study HCBS Survey'!$B$6:$FG$139,135,0))</f>
        <v/>
      </c>
      <c r="M90" s="37">
        <f t="shared" si="9"/>
        <v>0.11665888940737285</v>
      </c>
      <c r="N90" s="60">
        <f>IF(VLOOKUP(B90,'[1]UT Rate Study HCBS Survey'!$B$6:$FG$139,138,0)=0,"",VLOOKUP(B90,'[1]UT Rate Study HCBS Survey'!$B$6:$FG$139,138,0))</f>
        <v>678274</v>
      </c>
      <c r="O90" s="60" t="str">
        <f>IF(VLOOKUP(B90,'[1]UT Rate Study HCBS Survey'!$B$6:$FG$139,141,0)=0,"",VLOOKUP(B90,'[1]UT Rate Study HCBS Survey'!$B$6:$FG$139,141,0))</f>
        <v/>
      </c>
      <c r="P90" s="37" t="str">
        <f t="shared" si="10"/>
        <v/>
      </c>
      <c r="Q90" s="36">
        <f>IFERROR(E90*(1+SUM(H90,M90,P90)),"")</f>
        <v>44.38356164383562</v>
      </c>
      <c r="R90" s="9"/>
    </row>
    <row r="91" spans="1:18" x14ac:dyDescent="0.25">
      <c r="A91" s="43" t="s">
        <v>365</v>
      </c>
      <c r="B91" s="43" t="s">
        <v>171</v>
      </c>
      <c r="C91" s="60">
        <f>IF(VLOOKUP(B91,'[1]UT Rate Study HCBS Survey'!$B$6:$FG$139,129,0)=0,"",VLOOKUP(B91,'[1]UT Rate Study HCBS Survey'!$B$6:$FG$139,129,0))</f>
        <v>2500000</v>
      </c>
      <c r="D91" s="61">
        <f>IF(VLOOKUP(B91,'[1]UT Rate Study HCBS Survey'!$B$6:$FG$139,130,0)=0,"",VLOOKUP(B91,'[1]UT Rate Study HCBS Survey'!$B$6:$FG$139,130,0))</f>
        <v>129000</v>
      </c>
      <c r="E91" s="36">
        <f t="shared" si="7"/>
        <v>19.379844961240309</v>
      </c>
      <c r="F91" s="60">
        <f>IF(VLOOKUP(B91,'[1]UT Rate Study HCBS Survey'!$B$6:$FG$139,140,0)=0,"",VLOOKUP(B91,'[1]UT Rate Study HCBS Survey'!$B$6:$FG$139,140,0))</f>
        <v>29854.799999999999</v>
      </c>
      <c r="G91" s="60">
        <f>IF(VLOOKUP(B91,'[1]UT Rate Study HCBS Survey'!$B$6:$FG$139,139,0)=0,"",VLOOKUP(B91,'[1]UT Rate Study HCBS Survey'!$B$6:$FG$139,139,0))</f>
        <v>146151.65</v>
      </c>
      <c r="H91" s="37">
        <f t="shared" si="8"/>
        <v>0.20427275367743025</v>
      </c>
      <c r="I91" s="60" t="str">
        <f>IF(VLOOKUP(B91,'[1]UT Rate Study HCBS Survey'!$B$6:$FG$139,133,0)=0,"",VLOOKUP(B91,'[1]UT Rate Study HCBS Survey'!$B$6:$FG$139,133,0))</f>
        <v/>
      </c>
      <c r="J91" s="60" t="str">
        <f>IF(VLOOKUP(B91,'[1]UT Rate Study HCBS Survey'!$B$6:$FG$139,131,0)=0,"",VLOOKUP(B91,'[1]UT Rate Study HCBS Survey'!$B$6:$FG$139,131,0))</f>
        <v/>
      </c>
      <c r="K91" s="60" t="str">
        <f>IF(VLOOKUP(B91,'[1]UT Rate Study HCBS Survey'!$B$6:$FG$139,134,0)=0,"",VLOOKUP(B91,'[1]UT Rate Study HCBS Survey'!$B$6:$FG$139,134,0))</f>
        <v/>
      </c>
      <c r="L91" s="60" t="str">
        <f>IF(VLOOKUP(B91,'[1]UT Rate Study HCBS Survey'!$B$6:$FG$139,135,0)=0,"",VLOOKUP(B91,'[1]UT Rate Study HCBS Survey'!$B$6:$FG$139,135,0))</f>
        <v/>
      </c>
      <c r="M91" s="37" t="str">
        <f t="shared" si="9"/>
        <v/>
      </c>
      <c r="N91" s="60">
        <f>IF(VLOOKUP(B91,'[1]UT Rate Study HCBS Survey'!$B$6:$FG$139,138,0)=0,"",VLOOKUP(B91,'[1]UT Rate Study HCBS Survey'!$B$6:$FG$139,138,0))</f>
        <v>241070.1</v>
      </c>
      <c r="O91" s="60">
        <f>IF(VLOOKUP(B91,'[1]UT Rate Study HCBS Survey'!$B$6:$FG$139,141,0)=0,"",VLOOKUP(B91,'[1]UT Rate Study HCBS Survey'!$B$6:$FG$139,141,0))</f>
        <v>58983.11</v>
      </c>
      <c r="P91" s="37">
        <f t="shared" si="10"/>
        <v>0.24467202693324472</v>
      </c>
      <c r="Q91" s="36">
        <f>IFERROR((E91+(E91*H91))/(1-P91),"")</f>
        <v>30.89865606665661</v>
      </c>
      <c r="R91" s="9"/>
    </row>
    <row r="92" spans="1:18" x14ac:dyDescent="0.25">
      <c r="A92" s="43" t="s">
        <v>365</v>
      </c>
      <c r="B92" s="43" t="s">
        <v>172</v>
      </c>
      <c r="C92" s="60">
        <f>IF(VLOOKUP(B92,'[1]UT Rate Study HCBS Survey'!$B$6:$FG$139,129,0)=0,"",VLOOKUP(B92,'[1]UT Rate Study HCBS Survey'!$B$6:$FG$139,129,0))</f>
        <v>43527168</v>
      </c>
      <c r="D92" s="61">
        <f>IF(VLOOKUP(B92,'[1]UT Rate Study HCBS Survey'!$B$6:$FG$139,130,0)=0,"",VLOOKUP(B92,'[1]UT Rate Study HCBS Survey'!$B$6:$FG$139,130,0))</f>
        <v>2365787</v>
      </c>
      <c r="E92" s="36">
        <f t="shared" si="7"/>
        <v>18.398599704876222</v>
      </c>
      <c r="F92" s="60">
        <f>IF(VLOOKUP(B92,'[1]UT Rate Study HCBS Survey'!$B$6:$FG$139,140,0)=0,"",VLOOKUP(B92,'[1]UT Rate Study HCBS Survey'!$B$6:$FG$139,140,0))</f>
        <v>11010579</v>
      </c>
      <c r="G92" s="60">
        <f>IF(VLOOKUP(B92,'[1]UT Rate Study HCBS Survey'!$B$6:$FG$139,139,0)=0,"",VLOOKUP(B92,'[1]UT Rate Study HCBS Survey'!$B$6:$FG$139,139,0))</f>
        <v>71267756</v>
      </c>
      <c r="H92" s="37">
        <f t="shared" si="8"/>
        <v>0.15449594063267547</v>
      </c>
      <c r="I92" s="60" t="str">
        <f>IF(VLOOKUP(B92,'[1]UT Rate Study HCBS Survey'!$B$6:$FG$139,133,0)=0,"",VLOOKUP(B92,'[1]UT Rate Study HCBS Survey'!$B$6:$FG$139,133,0))</f>
        <v/>
      </c>
      <c r="J92" s="60">
        <f>IF(VLOOKUP(B92,'[1]UT Rate Study HCBS Survey'!$B$6:$FG$139,131,0)=0,"",VLOOKUP(B92,'[1]UT Rate Study HCBS Survey'!$B$6:$FG$139,131,0))</f>
        <v>2832635</v>
      </c>
      <c r="K92" s="60">
        <f>IF(VLOOKUP(B92,'[1]UT Rate Study HCBS Survey'!$B$6:$FG$139,134,0)=0,"",VLOOKUP(B92,'[1]UT Rate Study HCBS Survey'!$B$6:$FG$139,134,0))</f>
        <v>1262998</v>
      </c>
      <c r="L92" s="60">
        <f>IF(VLOOKUP(B92,'[1]UT Rate Study HCBS Survey'!$B$6:$FG$139,135,0)=0,"",VLOOKUP(B92,'[1]UT Rate Study HCBS Survey'!$B$6:$FG$139,135,0))</f>
        <v>14731932</v>
      </c>
      <c r="M92" s="37">
        <f t="shared" si="9"/>
        <v>0.43254743795874795</v>
      </c>
      <c r="N92" s="60">
        <f>IF(VLOOKUP(B92,'[1]UT Rate Study HCBS Survey'!$B$6:$FG$139,138,0)=0,"",VLOOKUP(B92,'[1]UT Rate Study HCBS Survey'!$B$6:$FG$139,138,0))</f>
        <v>103313373</v>
      </c>
      <c r="O92" s="60">
        <f>IF(VLOOKUP(B92,'[1]UT Rate Study HCBS Survey'!$B$6:$FG$139,141,0)=0,"",VLOOKUP(B92,'[1]UT Rate Study HCBS Survey'!$B$6:$FG$139,141,0))</f>
        <v>11574763</v>
      </c>
      <c r="P92" s="37">
        <f t="shared" si="10"/>
        <v>0.11203547676252909</v>
      </c>
      <c r="Q92" s="36">
        <f t="shared" si="11"/>
        <v>32.883493735221059</v>
      </c>
      <c r="R92" s="9"/>
    </row>
    <row r="93" spans="1:18" x14ac:dyDescent="0.25">
      <c r="A93" s="43" t="s">
        <v>365</v>
      </c>
      <c r="B93" s="43" t="s">
        <v>173</v>
      </c>
      <c r="C93" s="60">
        <f>IF(VLOOKUP(B93,'[1]UT Rate Study HCBS Survey'!$B$6:$FG$139,129,0)=0,"",VLOOKUP(B93,'[1]UT Rate Study HCBS Survey'!$B$6:$FG$139,129,0))</f>
        <v>14115</v>
      </c>
      <c r="D93" s="61">
        <f>IF(VLOOKUP(B93,'[1]UT Rate Study HCBS Survey'!$B$6:$FG$139,130,0)=0,"",VLOOKUP(B93,'[1]UT Rate Study HCBS Survey'!$B$6:$FG$139,130,0))</f>
        <v>705.75</v>
      </c>
      <c r="E93" s="36">
        <f t="shared" si="7"/>
        <v>20</v>
      </c>
      <c r="F93" s="60" t="str">
        <f>IF(VLOOKUP(B93,'[1]UT Rate Study HCBS Survey'!$B$6:$FG$139,140,0)=0,"",VLOOKUP(B93,'[1]UT Rate Study HCBS Survey'!$B$6:$FG$139,140,0))</f>
        <v/>
      </c>
      <c r="G93" s="60" t="str">
        <f>IF(VLOOKUP(B93,'[1]UT Rate Study HCBS Survey'!$B$6:$FG$139,139,0)=0,"",VLOOKUP(B93,'[1]UT Rate Study HCBS Survey'!$B$6:$FG$139,139,0))</f>
        <v/>
      </c>
      <c r="H93" s="37" t="str">
        <f t="shared" si="8"/>
        <v/>
      </c>
      <c r="I93" s="60" t="str">
        <f>IF(VLOOKUP(B93,'[1]UT Rate Study HCBS Survey'!$B$6:$FG$139,133,0)=0,"",VLOOKUP(B93,'[1]UT Rate Study HCBS Survey'!$B$6:$FG$139,133,0))</f>
        <v/>
      </c>
      <c r="J93" s="60" t="str">
        <f>IF(VLOOKUP(B93,'[1]UT Rate Study HCBS Survey'!$B$6:$FG$139,131,0)=0,"",VLOOKUP(B93,'[1]UT Rate Study HCBS Survey'!$B$6:$FG$139,131,0))</f>
        <v/>
      </c>
      <c r="K93" s="60" t="str">
        <f>IF(VLOOKUP(B93,'[1]UT Rate Study HCBS Survey'!$B$6:$FG$139,134,0)=0,"",VLOOKUP(B93,'[1]UT Rate Study HCBS Survey'!$B$6:$FG$139,134,0))</f>
        <v/>
      </c>
      <c r="L93" s="60" t="str">
        <f>IF(VLOOKUP(B93,'[1]UT Rate Study HCBS Survey'!$B$6:$FG$139,135,0)=0,"",VLOOKUP(B93,'[1]UT Rate Study HCBS Survey'!$B$6:$FG$139,135,0))</f>
        <v/>
      </c>
      <c r="M93" s="37" t="str">
        <f t="shared" si="9"/>
        <v/>
      </c>
      <c r="N93" s="60" t="str">
        <f>IF(VLOOKUP(B93,'[1]UT Rate Study HCBS Survey'!$B$6:$FG$139,138,0)=0,"",VLOOKUP(B93,'[1]UT Rate Study HCBS Survey'!$B$6:$FG$139,138,0))</f>
        <v/>
      </c>
      <c r="O93" s="60" t="str">
        <f>IF(VLOOKUP(B93,'[1]UT Rate Study HCBS Survey'!$B$6:$FG$139,141,0)=0,"",VLOOKUP(B93,'[1]UT Rate Study HCBS Survey'!$B$6:$FG$139,141,0))</f>
        <v/>
      </c>
      <c r="P93" s="37" t="str">
        <f t="shared" si="10"/>
        <v/>
      </c>
      <c r="Q93" s="36">
        <f t="shared" si="12"/>
        <v>20</v>
      </c>
      <c r="R93" s="9"/>
    </row>
    <row r="94" spans="1:18" x14ac:dyDescent="0.25">
      <c r="A94" s="43" t="s">
        <v>365</v>
      </c>
      <c r="B94" s="43" t="s">
        <v>174</v>
      </c>
      <c r="C94" s="60">
        <f>IF(VLOOKUP(B94,'[1]UT Rate Study HCBS Survey'!$B$6:$FG$139,129,0)=0,"",VLOOKUP(B94,'[1]UT Rate Study HCBS Survey'!$B$6:$FG$139,129,0))</f>
        <v>11392</v>
      </c>
      <c r="D94" s="61">
        <f>IF(VLOOKUP(B94,'[1]UT Rate Study HCBS Survey'!$B$6:$FG$139,130,0)=0,"",VLOOKUP(B94,'[1]UT Rate Study HCBS Survey'!$B$6:$FG$139,130,0))</f>
        <v>352</v>
      </c>
      <c r="E94" s="36">
        <f t="shared" si="7"/>
        <v>32.363636363636367</v>
      </c>
      <c r="F94" s="60" t="str">
        <f>IF(VLOOKUP(B94,'[1]UT Rate Study HCBS Survey'!$B$6:$FG$139,140,0)=0,"",VLOOKUP(B94,'[1]UT Rate Study HCBS Survey'!$B$6:$FG$139,140,0))</f>
        <v/>
      </c>
      <c r="G94" s="60">
        <f>IF(VLOOKUP(B94,'[1]UT Rate Study HCBS Survey'!$B$6:$FG$139,139,0)=0,"",VLOOKUP(B94,'[1]UT Rate Study HCBS Survey'!$B$6:$FG$139,139,0))</f>
        <v>226390.5</v>
      </c>
      <c r="H94" s="37" t="str">
        <f t="shared" si="8"/>
        <v/>
      </c>
      <c r="I94" s="60" t="str">
        <f>IF(VLOOKUP(B94,'[1]UT Rate Study HCBS Survey'!$B$6:$FG$139,133,0)=0,"",VLOOKUP(B94,'[1]UT Rate Study HCBS Survey'!$B$6:$FG$139,133,0))</f>
        <v/>
      </c>
      <c r="J94" s="60" t="str">
        <f>IF(VLOOKUP(B94,'[1]UT Rate Study HCBS Survey'!$B$6:$FG$139,131,0)=0,"",VLOOKUP(B94,'[1]UT Rate Study HCBS Survey'!$B$6:$FG$139,131,0))</f>
        <v/>
      </c>
      <c r="K94" s="60">
        <f>IF(VLOOKUP(B94,'[1]UT Rate Study HCBS Survey'!$B$6:$FG$139,134,0)=0,"",VLOOKUP(B94,'[1]UT Rate Study HCBS Survey'!$B$6:$FG$139,134,0))</f>
        <v>455.62</v>
      </c>
      <c r="L94" s="60" t="str">
        <f>IF(VLOOKUP(B94,'[1]UT Rate Study HCBS Survey'!$B$6:$FG$139,135,0)=0,"",VLOOKUP(B94,'[1]UT Rate Study HCBS Survey'!$B$6:$FG$139,135,0))</f>
        <v/>
      </c>
      <c r="M94" s="37">
        <f t="shared" si="9"/>
        <v>3.9994733146067413E-2</v>
      </c>
      <c r="N94" s="60">
        <f>IF(VLOOKUP(B94,'[1]UT Rate Study HCBS Survey'!$B$6:$FG$139,138,0)=0,"",VLOOKUP(B94,'[1]UT Rate Study HCBS Survey'!$B$6:$FG$139,138,0))</f>
        <v>388376</v>
      </c>
      <c r="O94" s="60" t="str">
        <f>IF(VLOOKUP(B94,'[1]UT Rate Study HCBS Survey'!$B$6:$FG$139,141,0)=0,"",VLOOKUP(B94,'[1]UT Rate Study HCBS Survey'!$B$6:$FG$139,141,0))</f>
        <v/>
      </c>
      <c r="P94" s="37" t="str">
        <f t="shared" si="10"/>
        <v/>
      </c>
      <c r="Q94" s="36">
        <f t="shared" si="12"/>
        <v>33.658011363636369</v>
      </c>
      <c r="R94" s="9"/>
    </row>
    <row r="95" spans="1:18" x14ac:dyDescent="0.25">
      <c r="A95" s="43" t="s">
        <v>365</v>
      </c>
      <c r="B95" s="43" t="s">
        <v>175</v>
      </c>
      <c r="C95" s="60">
        <f>IF(VLOOKUP(B95,'[1]UT Rate Study HCBS Survey'!$B$6:$FG$139,129,0)=0,"",VLOOKUP(B95,'[1]UT Rate Study HCBS Survey'!$B$6:$FG$139,129,0))</f>
        <v>420898</v>
      </c>
      <c r="D95" s="61" t="str">
        <f>IF(VLOOKUP(B95,'[1]UT Rate Study HCBS Survey'!$B$6:$FG$139,130,0)=0,"",VLOOKUP(B95,'[1]UT Rate Study HCBS Survey'!$B$6:$FG$139,130,0))</f>
        <v/>
      </c>
      <c r="E95" s="36" t="str">
        <f t="shared" si="7"/>
        <v/>
      </c>
      <c r="F95" s="60">
        <f>IF(VLOOKUP(B95,'[1]UT Rate Study HCBS Survey'!$B$6:$FG$139,140,0)=0,"",VLOOKUP(B95,'[1]UT Rate Study HCBS Survey'!$B$6:$FG$139,140,0))</f>
        <v>11588.58</v>
      </c>
      <c r="G95" s="60">
        <f>IF(VLOOKUP(B95,'[1]UT Rate Study HCBS Survey'!$B$6:$FG$139,139,0)=0,"",VLOOKUP(B95,'[1]UT Rate Study HCBS Survey'!$B$6:$FG$139,139,0))</f>
        <v>1365876.5</v>
      </c>
      <c r="H95" s="37">
        <f t="shared" si="8"/>
        <v>8.484354185755447E-3</v>
      </c>
      <c r="I95" s="60" t="str">
        <f>IF(VLOOKUP(B95,'[1]UT Rate Study HCBS Survey'!$B$6:$FG$139,133,0)=0,"",VLOOKUP(B95,'[1]UT Rate Study HCBS Survey'!$B$6:$FG$139,133,0))</f>
        <v/>
      </c>
      <c r="J95" s="60">
        <f>IF(VLOOKUP(B95,'[1]UT Rate Study HCBS Survey'!$B$6:$FG$139,131,0)=0,"",VLOOKUP(B95,'[1]UT Rate Study HCBS Survey'!$B$6:$FG$139,131,0))</f>
        <v>708088</v>
      </c>
      <c r="K95" s="60" t="str">
        <f>IF(VLOOKUP(B95,'[1]UT Rate Study HCBS Survey'!$B$6:$FG$139,134,0)=0,"",VLOOKUP(B95,'[1]UT Rate Study HCBS Survey'!$B$6:$FG$139,134,0))</f>
        <v/>
      </c>
      <c r="L95" s="60">
        <f>IF(VLOOKUP(B95,'[1]UT Rate Study HCBS Survey'!$B$6:$FG$139,135,0)=0,"",VLOOKUP(B95,'[1]UT Rate Study HCBS Survey'!$B$6:$FG$139,135,0))</f>
        <v>169912</v>
      </c>
      <c r="M95" s="37">
        <f t="shared" si="9"/>
        <v>2.0860160894088353</v>
      </c>
      <c r="N95" s="60">
        <f>IF(VLOOKUP(B95,'[1]UT Rate Study HCBS Survey'!$B$6:$FG$139,138,0)=0,"",VLOOKUP(B95,'[1]UT Rate Study HCBS Survey'!$B$6:$FG$139,138,0))</f>
        <v>2042116.15</v>
      </c>
      <c r="O95" s="60">
        <f>IF(VLOOKUP(B95,'[1]UT Rate Study HCBS Survey'!$B$6:$FG$139,141,0)=0,"",VLOOKUP(B95,'[1]UT Rate Study HCBS Survey'!$B$6:$FG$139,141,0))</f>
        <v>214030</v>
      </c>
      <c r="P95" s="37">
        <f t="shared" si="10"/>
        <v>0.104807946404028</v>
      </c>
      <c r="Q95" s="36" t="str">
        <f t="shared" si="12"/>
        <v/>
      </c>
      <c r="R95" s="9" t="s">
        <v>482</v>
      </c>
    </row>
    <row r="96" spans="1:18" x14ac:dyDescent="0.25">
      <c r="A96" s="43" t="s">
        <v>365</v>
      </c>
      <c r="B96" s="43" t="s">
        <v>176</v>
      </c>
      <c r="C96" s="60">
        <f>IF(VLOOKUP(B96,'[1]UT Rate Study HCBS Survey'!$B$6:$FG$139,129,0)=0,"",VLOOKUP(B96,'[1]UT Rate Study HCBS Survey'!$B$6:$FG$139,129,0))</f>
        <v>1124721.04</v>
      </c>
      <c r="D96" s="61">
        <f>IF(VLOOKUP(B96,'[1]UT Rate Study HCBS Survey'!$B$6:$FG$139,130,0)=0,"",VLOOKUP(B96,'[1]UT Rate Study HCBS Survey'!$B$6:$FG$139,130,0))</f>
        <v>71543.69</v>
      </c>
      <c r="E96" s="36">
        <f t="shared" si="7"/>
        <v>15.720758043092269</v>
      </c>
      <c r="F96" s="60">
        <f>IF(VLOOKUP(B96,'[1]UT Rate Study HCBS Survey'!$B$6:$FG$139,140,0)=0,"",VLOOKUP(B96,'[1]UT Rate Study HCBS Survey'!$B$6:$FG$139,140,0))</f>
        <v>98773.24</v>
      </c>
      <c r="G96" s="60">
        <f>IF(VLOOKUP(B96,'[1]UT Rate Study HCBS Survey'!$B$6:$FG$139,139,0)=0,"",VLOOKUP(B96,'[1]UT Rate Study HCBS Survey'!$B$6:$FG$139,139,0))</f>
        <v>1258257.3</v>
      </c>
      <c r="H96" s="37">
        <f t="shared" si="8"/>
        <v>7.8500033339762867E-2</v>
      </c>
      <c r="I96" s="60" t="str">
        <f>IF(VLOOKUP(B96,'[1]UT Rate Study HCBS Survey'!$B$6:$FG$139,133,0)=0,"",VLOOKUP(B96,'[1]UT Rate Study HCBS Survey'!$B$6:$FG$139,133,0))</f>
        <v/>
      </c>
      <c r="J96" s="60">
        <f>IF(VLOOKUP(B96,'[1]UT Rate Study HCBS Survey'!$B$6:$FG$139,131,0)=0,"",VLOOKUP(B96,'[1]UT Rate Study HCBS Survey'!$B$6:$FG$139,131,0))</f>
        <v>91220.66</v>
      </c>
      <c r="K96" s="60">
        <f>IF(VLOOKUP(B96,'[1]UT Rate Study HCBS Survey'!$B$6:$FG$139,134,0)=0,"",VLOOKUP(B96,'[1]UT Rate Study HCBS Survey'!$B$6:$FG$139,134,0))</f>
        <v>21009.38</v>
      </c>
      <c r="L96" s="60">
        <f>IF(VLOOKUP(B96,'[1]UT Rate Study HCBS Survey'!$B$6:$FG$139,135,0)=0,"",VLOOKUP(B96,'[1]UT Rate Study HCBS Survey'!$B$6:$FG$139,135,0))</f>
        <v>8944.18</v>
      </c>
      <c r="M96" s="37">
        <f t="shared" si="9"/>
        <v>0.10773713275604767</v>
      </c>
      <c r="N96" s="60">
        <f>IF(VLOOKUP(B96,'[1]UT Rate Study HCBS Survey'!$B$6:$FG$139,138,0)=0,"",VLOOKUP(B96,'[1]UT Rate Study HCBS Survey'!$B$6:$FG$139,138,0))</f>
        <v>1632929.02</v>
      </c>
      <c r="O96" s="60">
        <f>IF(VLOOKUP(B96,'[1]UT Rate Study HCBS Survey'!$B$6:$FG$139,141,0)=0,"",VLOOKUP(B96,'[1]UT Rate Study HCBS Survey'!$B$6:$FG$139,141,0))</f>
        <v>145198.66</v>
      </c>
      <c r="P96" s="37">
        <f t="shared" si="10"/>
        <v>8.8919149712949563E-2</v>
      </c>
      <c r="Q96" s="36">
        <f t="shared" ref="Q96:Q97" si="13">IFERROR((E96+(E96*H96)+(E96*M96))/(1-P96),"")</f>
        <v>20.468597780361836</v>
      </c>
      <c r="R96" s="9"/>
    </row>
    <row r="97" spans="1:18" x14ac:dyDescent="0.25">
      <c r="A97" s="43" t="s">
        <v>365</v>
      </c>
      <c r="B97" s="43" t="s">
        <v>177</v>
      </c>
      <c r="C97" s="60">
        <f>IF(VLOOKUP(B97,'[1]UT Rate Study HCBS Survey'!$B$6:$FG$139,129,0)=0,"",VLOOKUP(B97,'[1]UT Rate Study HCBS Survey'!$B$6:$FG$139,129,0))</f>
        <v>254153</v>
      </c>
      <c r="D97" s="61">
        <f>IF(VLOOKUP(B97,'[1]UT Rate Study HCBS Survey'!$B$6:$FG$139,130,0)=0,"",VLOOKUP(B97,'[1]UT Rate Study HCBS Survey'!$B$6:$FG$139,130,0))</f>
        <v>5811</v>
      </c>
      <c r="E97" s="36">
        <f t="shared" si="7"/>
        <v>43.736534159352949</v>
      </c>
      <c r="F97" s="60">
        <f>IF(VLOOKUP(B97,'[1]UT Rate Study HCBS Survey'!$B$6:$FG$139,140,0)=0,"",VLOOKUP(B97,'[1]UT Rate Study HCBS Survey'!$B$6:$FG$139,140,0))</f>
        <v>93004</v>
      </c>
      <c r="G97" s="60">
        <f>IF(VLOOKUP(B97,'[1]UT Rate Study HCBS Survey'!$B$6:$FG$139,139,0)=0,"",VLOOKUP(B97,'[1]UT Rate Study HCBS Survey'!$B$6:$FG$139,139,0))</f>
        <v>645848</v>
      </c>
      <c r="H97" s="37">
        <f t="shared" si="8"/>
        <v>0.14400292328845177</v>
      </c>
      <c r="I97" s="60" t="str">
        <f>IF(VLOOKUP(B97,'[1]UT Rate Study HCBS Survey'!$B$6:$FG$139,133,0)=0,"",VLOOKUP(B97,'[1]UT Rate Study HCBS Survey'!$B$6:$FG$139,133,0))</f>
        <v/>
      </c>
      <c r="J97" s="60">
        <f>IF(VLOOKUP(B97,'[1]UT Rate Study HCBS Survey'!$B$6:$FG$139,131,0)=0,"",VLOOKUP(B97,'[1]UT Rate Study HCBS Survey'!$B$6:$FG$139,131,0))</f>
        <v>36971</v>
      </c>
      <c r="K97" s="60" t="str">
        <f>IF(VLOOKUP(B97,'[1]UT Rate Study HCBS Survey'!$B$6:$FG$139,134,0)=0,"",VLOOKUP(B97,'[1]UT Rate Study HCBS Survey'!$B$6:$FG$139,134,0))</f>
        <v/>
      </c>
      <c r="L97" s="60" t="str">
        <f>IF(VLOOKUP(B97,'[1]UT Rate Study HCBS Survey'!$B$6:$FG$139,135,0)=0,"",VLOOKUP(B97,'[1]UT Rate Study HCBS Survey'!$B$6:$FG$139,135,0))</f>
        <v/>
      </c>
      <c r="M97" s="37">
        <f t="shared" si="9"/>
        <v>0.14546749398984077</v>
      </c>
      <c r="N97" s="60">
        <f>IF(VLOOKUP(B97,'[1]UT Rate Study HCBS Survey'!$B$6:$FG$139,138,0)=0,"",VLOOKUP(B97,'[1]UT Rate Study HCBS Survey'!$B$6:$FG$139,138,0))</f>
        <v>1533184</v>
      </c>
      <c r="O97" s="60">
        <f>IF(VLOOKUP(B97,'[1]UT Rate Study HCBS Survey'!$B$6:$FG$139,141,0)=0,"",VLOOKUP(B97,'[1]UT Rate Study HCBS Survey'!$B$6:$FG$139,141,0))</f>
        <v>275270</v>
      </c>
      <c r="P97" s="37">
        <f t="shared" si="10"/>
        <v>0.17954139881449324</v>
      </c>
      <c r="Q97" s="36">
        <f t="shared" si="13"/>
        <v>68.738345690175436</v>
      </c>
      <c r="R97" s="9"/>
    </row>
    <row r="98" spans="1:18" x14ac:dyDescent="0.25">
      <c r="A98" s="43" t="s">
        <v>365</v>
      </c>
      <c r="B98" s="43" t="s">
        <v>178</v>
      </c>
      <c r="C98" s="60">
        <f>IF(VLOOKUP(B98,'[1]UT Rate Study HCBS Survey'!$B$6:$FG$139,129,0)=0,"",VLOOKUP(B98,'[1]UT Rate Study HCBS Survey'!$B$6:$FG$139,129,0))</f>
        <v>769330</v>
      </c>
      <c r="D98" s="61" t="str">
        <f>IF(VLOOKUP(B98,'[1]UT Rate Study HCBS Survey'!$B$6:$FG$139,130,0)=0,"",VLOOKUP(B98,'[1]UT Rate Study HCBS Survey'!$B$6:$FG$139,130,0))</f>
        <v/>
      </c>
      <c r="E98" s="36" t="str">
        <f t="shared" si="7"/>
        <v/>
      </c>
      <c r="F98" s="60">
        <f>IF(VLOOKUP(B98,'[1]UT Rate Study HCBS Survey'!$B$6:$FG$139,140,0)=0,"",VLOOKUP(B98,'[1]UT Rate Study HCBS Survey'!$B$6:$FG$139,140,0))</f>
        <v>26158</v>
      </c>
      <c r="G98" s="60">
        <f>IF(VLOOKUP(B98,'[1]UT Rate Study HCBS Survey'!$B$6:$FG$139,139,0)=0,"",VLOOKUP(B98,'[1]UT Rate Study HCBS Survey'!$B$6:$FG$139,139,0))</f>
        <v>1167973</v>
      </c>
      <c r="H98" s="37">
        <f t="shared" si="8"/>
        <v>2.2396065662476788E-2</v>
      </c>
      <c r="I98" s="60">
        <f>IF(VLOOKUP(B98,'[1]UT Rate Study HCBS Survey'!$B$6:$FG$139,133,0)=0,"",VLOOKUP(B98,'[1]UT Rate Study HCBS Survey'!$B$6:$FG$139,133,0))</f>
        <v>59500</v>
      </c>
      <c r="J98" s="60">
        <f>IF(VLOOKUP(B98,'[1]UT Rate Study HCBS Survey'!$B$6:$FG$139,131,0)=0,"",VLOOKUP(B98,'[1]UT Rate Study HCBS Survey'!$B$6:$FG$139,131,0))</f>
        <v>209095</v>
      </c>
      <c r="K98" s="60" t="str">
        <f>IF(VLOOKUP(B98,'[1]UT Rate Study HCBS Survey'!$B$6:$FG$139,134,0)=0,"",VLOOKUP(B98,'[1]UT Rate Study HCBS Survey'!$B$6:$FG$139,134,0))</f>
        <v/>
      </c>
      <c r="L98" s="60">
        <f>IF(VLOOKUP(B98,'[1]UT Rate Study HCBS Survey'!$B$6:$FG$139,135,0)=0,"",VLOOKUP(B98,'[1]UT Rate Study HCBS Survey'!$B$6:$FG$139,135,0))</f>
        <v>144645</v>
      </c>
      <c r="M98" s="37">
        <f t="shared" si="9"/>
        <v>0.42679439692096088</v>
      </c>
      <c r="N98" s="60">
        <f>IF(VLOOKUP(B98,'[1]UT Rate Study HCBS Survey'!$B$6:$FG$139,138,0)=0,"",VLOOKUP(B98,'[1]UT Rate Study HCBS Survey'!$B$6:$FG$139,138,0))</f>
        <v>1732686.2</v>
      </c>
      <c r="O98" s="60">
        <f>IF(VLOOKUP(B98,'[1]UT Rate Study HCBS Survey'!$B$6:$FG$139,141,0)=0,"",VLOOKUP(B98,'[1]UT Rate Study HCBS Survey'!$B$6:$FG$139,141,0))</f>
        <v>158679</v>
      </c>
      <c r="P98" s="37">
        <f t="shared" si="10"/>
        <v>9.1579767877183998E-2</v>
      </c>
      <c r="Q98" s="36" t="str">
        <f t="shared" si="12"/>
        <v/>
      </c>
      <c r="R98" s="9" t="s">
        <v>482</v>
      </c>
    </row>
    <row r="99" spans="1:18" x14ac:dyDescent="0.25">
      <c r="A99" s="43" t="s">
        <v>365</v>
      </c>
      <c r="B99" s="43" t="s">
        <v>182</v>
      </c>
      <c r="C99" s="60">
        <f>IF(VLOOKUP(B99,'[1]UT Rate Study HCBS Survey'!$B$6:$FG$139,129,0)=0,"",VLOOKUP(B99,'[1]UT Rate Study HCBS Survey'!$B$6:$FG$139,129,0))</f>
        <v>3553353</v>
      </c>
      <c r="D99" s="61">
        <f>IF(VLOOKUP(B99,'[1]UT Rate Study HCBS Survey'!$B$6:$FG$139,130,0)=0,"",VLOOKUP(B99,'[1]UT Rate Study HCBS Survey'!$B$6:$FG$139,130,0))</f>
        <v>191261</v>
      </c>
      <c r="E99" s="36">
        <f t="shared" si="7"/>
        <v>18.578554958930468</v>
      </c>
      <c r="F99" s="60">
        <f>IF(VLOOKUP(B99,'[1]UT Rate Study HCBS Survey'!$B$6:$FG$139,140,0)=0,"",VLOOKUP(B99,'[1]UT Rate Study HCBS Survey'!$B$6:$FG$139,140,0))</f>
        <v>708954</v>
      </c>
      <c r="G99" s="60">
        <f>IF(VLOOKUP(B99,'[1]UT Rate Study HCBS Survey'!$B$6:$FG$139,139,0)=0,"",VLOOKUP(B99,'[1]UT Rate Study HCBS Survey'!$B$6:$FG$139,139,0))</f>
        <v>5058461</v>
      </c>
      <c r="H99" s="37">
        <f t="shared" si="8"/>
        <v>0.14015211345901452</v>
      </c>
      <c r="I99" s="60">
        <f>IF(VLOOKUP(B99,'[1]UT Rate Study HCBS Survey'!$B$6:$FG$139,133,0)=0,"",VLOOKUP(B99,'[1]UT Rate Study HCBS Survey'!$B$6:$FG$139,133,0))</f>
        <v>96375</v>
      </c>
      <c r="J99" s="60">
        <f>IF(VLOOKUP(B99,'[1]UT Rate Study HCBS Survey'!$B$6:$FG$139,131,0)=0,"",VLOOKUP(B99,'[1]UT Rate Study HCBS Survey'!$B$6:$FG$139,131,0))</f>
        <v>494144</v>
      </c>
      <c r="K99" s="60">
        <f>IF(VLOOKUP(B99,'[1]UT Rate Study HCBS Survey'!$B$6:$FG$139,134,0)=0,"",VLOOKUP(B99,'[1]UT Rate Study HCBS Survey'!$B$6:$FG$139,134,0))</f>
        <v>681</v>
      </c>
      <c r="L99" s="60">
        <f>IF(VLOOKUP(B99,'[1]UT Rate Study HCBS Survey'!$B$6:$FG$139,135,0)=0,"",VLOOKUP(B99,'[1]UT Rate Study HCBS Survey'!$B$6:$FG$139,135,0))</f>
        <v>4093</v>
      </c>
      <c r="M99" s="37">
        <f t="shared" si="9"/>
        <v>0.13670004997632701</v>
      </c>
      <c r="N99" s="60">
        <f>IF(VLOOKUP(B99,'[1]UT Rate Study HCBS Survey'!$B$6:$FG$139,138,0)=0,"",VLOOKUP(B99,'[1]UT Rate Study HCBS Survey'!$B$6:$FG$139,138,0))</f>
        <v>8667409</v>
      </c>
      <c r="O99" s="60">
        <f>IF(VLOOKUP(B99,'[1]UT Rate Study HCBS Survey'!$B$6:$FG$139,141,0)=0,"",VLOOKUP(B99,'[1]UT Rate Study HCBS Survey'!$B$6:$FG$139,141,0))</f>
        <v>4518763</v>
      </c>
      <c r="P99" s="37">
        <f t="shared" si="10"/>
        <v>0.52135107504445677</v>
      </c>
      <c r="Q99" s="36">
        <f t="shared" ref="Q99:Q124" si="14">IFERROR((E99+(E99*H99)+(E99*M99))/(1-P99),"")</f>
        <v>49.560475028782442</v>
      </c>
      <c r="R99" s="9"/>
    </row>
    <row r="100" spans="1:18" x14ac:dyDescent="0.25">
      <c r="A100" s="43" t="s">
        <v>365</v>
      </c>
      <c r="B100" s="43" t="s">
        <v>183</v>
      </c>
      <c r="C100" s="60">
        <f>IF(VLOOKUP(B100,'[1]UT Rate Study HCBS Survey'!$B$6:$FG$139,129,0)=0,"",VLOOKUP(B100,'[1]UT Rate Study HCBS Survey'!$B$6:$FG$139,129,0))</f>
        <v>2673791</v>
      </c>
      <c r="D100" s="61">
        <f>IF(VLOOKUP(B100,'[1]UT Rate Study HCBS Survey'!$B$6:$FG$139,130,0)=0,"",VLOOKUP(B100,'[1]UT Rate Study HCBS Survey'!$B$6:$FG$139,130,0))</f>
        <v>144796</v>
      </c>
      <c r="E100" s="36">
        <f t="shared" si="7"/>
        <v>18.465917566783613</v>
      </c>
      <c r="F100" s="60">
        <f>IF(VLOOKUP(B100,'[1]UT Rate Study HCBS Survey'!$B$6:$FG$139,140,0)=0,"",VLOOKUP(B100,'[1]UT Rate Study HCBS Survey'!$B$6:$FG$139,140,0))</f>
        <v>452653.76</v>
      </c>
      <c r="G100" s="60">
        <f>IF(VLOOKUP(B100,'[1]UT Rate Study HCBS Survey'!$B$6:$FG$139,139,0)=0,"",VLOOKUP(B100,'[1]UT Rate Study HCBS Survey'!$B$6:$FG$139,139,0))</f>
        <v>4644183.1500000004</v>
      </c>
      <c r="H100" s="37">
        <f t="shared" si="8"/>
        <v>9.7466819326451404E-2</v>
      </c>
      <c r="I100" s="60">
        <f>IF(VLOOKUP(B100,'[1]UT Rate Study HCBS Survey'!$B$6:$FG$139,133,0)=0,"",VLOOKUP(B100,'[1]UT Rate Study HCBS Survey'!$B$6:$FG$139,133,0))</f>
        <v>930587</v>
      </c>
      <c r="J100" s="60">
        <f>IF(VLOOKUP(B100,'[1]UT Rate Study HCBS Survey'!$B$6:$FG$139,131,0)=0,"",VLOOKUP(B100,'[1]UT Rate Study HCBS Survey'!$B$6:$FG$139,131,0))</f>
        <v>942828</v>
      </c>
      <c r="K100" s="60">
        <f>IF(VLOOKUP(B100,'[1]UT Rate Study HCBS Survey'!$B$6:$FG$139,134,0)=0,"",VLOOKUP(B100,'[1]UT Rate Study HCBS Survey'!$B$6:$FG$139,134,0))</f>
        <v>21859</v>
      </c>
      <c r="L100" s="60">
        <f>IF(VLOOKUP(B100,'[1]UT Rate Study HCBS Survey'!$B$6:$FG$139,135,0)=0,"",VLOOKUP(B100,'[1]UT Rate Study HCBS Survey'!$B$6:$FG$139,135,0))</f>
        <v>28103</v>
      </c>
      <c r="M100" s="37">
        <f t="shared" si="9"/>
        <v>0.27544003431382613</v>
      </c>
      <c r="N100" s="60">
        <f>IF(VLOOKUP(B100,'[1]UT Rate Study HCBS Survey'!$B$6:$FG$139,138,0)=0,"",VLOOKUP(B100,'[1]UT Rate Study HCBS Survey'!$B$6:$FG$139,138,0))</f>
        <v>5397257.7199999997</v>
      </c>
      <c r="O100" s="60">
        <f>IF(VLOOKUP(B100,'[1]UT Rate Study HCBS Survey'!$B$6:$FG$139,141,0)=0,"",VLOOKUP(B100,'[1]UT Rate Study HCBS Survey'!$B$6:$FG$139,141,0))</f>
        <v>541026.76</v>
      </c>
      <c r="P100" s="37">
        <f t="shared" si="10"/>
        <v>0.10024104611406254</v>
      </c>
      <c r="Q100" s="36">
        <f t="shared" si="14"/>
        <v>28.176418447076099</v>
      </c>
      <c r="R100" s="9"/>
    </row>
    <row r="101" spans="1:18" x14ac:dyDescent="0.25">
      <c r="A101" s="43" t="s">
        <v>365</v>
      </c>
      <c r="B101" s="43" t="s">
        <v>184</v>
      </c>
      <c r="C101" s="60">
        <f>IF(VLOOKUP(B101,'[1]UT Rate Study HCBS Survey'!$B$6:$FG$139,129,0)=0,"",VLOOKUP(B101,'[1]UT Rate Study HCBS Survey'!$B$6:$FG$139,129,0))</f>
        <v>167755</v>
      </c>
      <c r="D101" s="61">
        <f>IF(VLOOKUP(B101,'[1]UT Rate Study HCBS Survey'!$B$6:$FG$139,130,0)=0,"",VLOOKUP(B101,'[1]UT Rate Study HCBS Survey'!$B$6:$FG$139,130,0))</f>
        <v>11712</v>
      </c>
      <c r="E101" s="36">
        <f t="shared" si="7"/>
        <v>14.323343579234972</v>
      </c>
      <c r="F101" s="60">
        <f>IF(VLOOKUP(B101,'[1]UT Rate Study HCBS Survey'!$B$6:$FG$139,140,0)=0,"",VLOOKUP(B101,'[1]UT Rate Study HCBS Survey'!$B$6:$FG$139,140,0))</f>
        <v>64800</v>
      </c>
      <c r="G101" s="60">
        <f>IF(VLOOKUP(B101,'[1]UT Rate Study HCBS Survey'!$B$6:$FG$139,139,0)=0,"",VLOOKUP(B101,'[1]UT Rate Study HCBS Survey'!$B$6:$FG$139,139,0))</f>
        <v>201327</v>
      </c>
      <c r="H101" s="37">
        <f t="shared" si="8"/>
        <v>0.32186442951019983</v>
      </c>
      <c r="I101" s="60">
        <f>IF(VLOOKUP(B101,'[1]UT Rate Study HCBS Survey'!$B$6:$FG$139,133,0)=0,"",VLOOKUP(B101,'[1]UT Rate Study HCBS Survey'!$B$6:$FG$139,133,0))</f>
        <v>167755</v>
      </c>
      <c r="J101" s="60">
        <f>IF(VLOOKUP(B101,'[1]UT Rate Study HCBS Survey'!$B$6:$FG$139,131,0)=0,"",VLOOKUP(B101,'[1]UT Rate Study HCBS Survey'!$B$6:$FG$139,131,0))</f>
        <v>32000</v>
      </c>
      <c r="K101" s="60" t="str">
        <f>IF(VLOOKUP(B101,'[1]UT Rate Study HCBS Survey'!$B$6:$FG$139,134,0)=0,"",VLOOKUP(B101,'[1]UT Rate Study HCBS Survey'!$B$6:$FG$139,134,0))</f>
        <v/>
      </c>
      <c r="L101" s="60">
        <f>IF(VLOOKUP(B101,'[1]UT Rate Study HCBS Survey'!$B$6:$FG$139,135,0)=0,"",VLOOKUP(B101,'[1]UT Rate Study HCBS Survey'!$B$6:$FG$139,135,0))</f>
        <v>9200</v>
      </c>
      <c r="M101" s="37">
        <f t="shared" si="9"/>
        <v>0.12279812822270574</v>
      </c>
      <c r="N101" s="60">
        <f>IF(VLOOKUP(B101,'[1]UT Rate Study HCBS Survey'!$B$6:$FG$139,138,0)=0,"",VLOOKUP(B101,'[1]UT Rate Study HCBS Survey'!$B$6:$FG$139,138,0))</f>
        <v>209497</v>
      </c>
      <c r="O101" s="60">
        <f>IF(VLOOKUP(B101,'[1]UT Rate Study HCBS Survey'!$B$6:$FG$139,141,0)=0,"",VLOOKUP(B101,'[1]UT Rate Study HCBS Survey'!$B$6:$FG$139,141,0))</f>
        <v>8000</v>
      </c>
      <c r="P101" s="37">
        <f t="shared" si="10"/>
        <v>3.818670434421495E-2</v>
      </c>
      <c r="Q101" s="36">
        <f t="shared" si="14"/>
        <v>21.513944820607065</v>
      </c>
      <c r="R101" s="9"/>
    </row>
    <row r="102" spans="1:18" x14ac:dyDescent="0.25">
      <c r="A102" s="43" t="s">
        <v>365</v>
      </c>
      <c r="B102" s="43" t="s">
        <v>185</v>
      </c>
      <c r="C102" s="60">
        <f>IF(VLOOKUP(B102,'[1]UT Rate Study HCBS Survey'!$B$6:$FG$139,129,0)=0,"",VLOOKUP(B102,'[1]UT Rate Study HCBS Survey'!$B$6:$FG$139,129,0))</f>
        <v>350555.26</v>
      </c>
      <c r="D102" s="61">
        <f>IF(VLOOKUP(B102,'[1]UT Rate Study HCBS Survey'!$B$6:$FG$139,130,0)=0,"",VLOOKUP(B102,'[1]UT Rate Study HCBS Survey'!$B$6:$FG$139,130,0))</f>
        <v>16308.57</v>
      </c>
      <c r="E102" s="36">
        <f t="shared" si="7"/>
        <v>21.495156227676617</v>
      </c>
      <c r="F102" s="60">
        <f>IF(VLOOKUP(B102,'[1]UT Rate Study HCBS Survey'!$B$6:$FG$139,140,0)=0,"",VLOOKUP(B102,'[1]UT Rate Study HCBS Survey'!$B$6:$FG$139,140,0))</f>
        <v>59988.69</v>
      </c>
      <c r="G102" s="60">
        <f>IF(VLOOKUP(B102,'[1]UT Rate Study HCBS Survey'!$B$6:$FG$139,139,0)=0,"",VLOOKUP(B102,'[1]UT Rate Study HCBS Survey'!$B$6:$FG$139,139,0))</f>
        <v>436805.14</v>
      </c>
      <c r="H102" s="37">
        <f t="shared" si="8"/>
        <v>0.13733512842820486</v>
      </c>
      <c r="I102" s="60">
        <f>IF(VLOOKUP(B102,'[1]UT Rate Study HCBS Survey'!$B$6:$FG$139,133,0)=0,"",VLOOKUP(B102,'[1]UT Rate Study HCBS Survey'!$B$6:$FG$139,133,0))</f>
        <v>15860</v>
      </c>
      <c r="J102" s="60">
        <f>IF(VLOOKUP(B102,'[1]UT Rate Study HCBS Survey'!$B$6:$FG$139,131,0)=0,"",VLOOKUP(B102,'[1]UT Rate Study HCBS Survey'!$B$6:$FG$139,131,0))</f>
        <v>86249.88</v>
      </c>
      <c r="K102" s="60" t="str">
        <f>IF(VLOOKUP(B102,'[1]UT Rate Study HCBS Survey'!$B$6:$FG$139,134,0)=0,"",VLOOKUP(B102,'[1]UT Rate Study HCBS Survey'!$B$6:$FG$139,134,0))</f>
        <v/>
      </c>
      <c r="L102" s="60">
        <f>IF(VLOOKUP(B102,'[1]UT Rate Study HCBS Survey'!$B$6:$FG$139,135,0)=0,"",VLOOKUP(B102,'[1]UT Rate Study HCBS Survey'!$B$6:$FG$139,135,0))</f>
        <v>359340.43</v>
      </c>
      <c r="M102" s="37">
        <f t="shared" si="9"/>
        <v>1.2160801108556449</v>
      </c>
      <c r="N102" s="60">
        <f>IF(VLOOKUP(B102,'[1]UT Rate Study HCBS Survey'!$B$6:$FG$139,138,0)=0,"",VLOOKUP(B102,'[1]UT Rate Study HCBS Survey'!$B$6:$FG$139,138,0))</f>
        <v>821045.57</v>
      </c>
      <c r="O102" s="60">
        <f>IF(VLOOKUP(B102,'[1]UT Rate Study HCBS Survey'!$B$6:$FG$139,141,0)=0,"",VLOOKUP(B102,'[1]UT Rate Study HCBS Survey'!$B$6:$FG$139,141,0))</f>
        <v>796145.57</v>
      </c>
      <c r="P102" s="37">
        <f t="shared" si="10"/>
        <v>0.96967281608985478</v>
      </c>
      <c r="Q102" s="36">
        <f t="shared" si="14"/>
        <v>1668.0423868857354</v>
      </c>
      <c r="R102" s="9"/>
    </row>
    <row r="103" spans="1:18" x14ac:dyDescent="0.25">
      <c r="A103" s="43" t="s">
        <v>365</v>
      </c>
      <c r="B103" s="43" t="s">
        <v>186</v>
      </c>
      <c r="C103" s="60">
        <f>IF(VLOOKUP(B103,'[1]UT Rate Study HCBS Survey'!$B$6:$FG$139,129,0)=0,"",VLOOKUP(B103,'[1]UT Rate Study HCBS Survey'!$B$6:$FG$139,129,0))</f>
        <v>153159.42000000001</v>
      </c>
      <c r="D103" s="61">
        <f>IF(VLOOKUP(B103,'[1]UT Rate Study HCBS Survey'!$B$6:$FG$139,130,0)=0,"",VLOOKUP(B103,'[1]UT Rate Study HCBS Survey'!$B$6:$FG$139,130,0))</f>
        <v>9987.2999999999993</v>
      </c>
      <c r="E103" s="36">
        <f t="shared" si="7"/>
        <v>15.335417980835663</v>
      </c>
      <c r="F103" s="60">
        <f>IF(VLOOKUP(B103,'[1]UT Rate Study HCBS Survey'!$B$6:$FG$139,140,0)=0,"",VLOOKUP(B103,'[1]UT Rate Study HCBS Survey'!$B$6:$FG$139,140,0))</f>
        <v>15048.41</v>
      </c>
      <c r="G103" s="60">
        <f>IF(VLOOKUP(B103,'[1]UT Rate Study HCBS Survey'!$B$6:$FG$139,139,0)=0,"",VLOOKUP(B103,'[1]UT Rate Study HCBS Survey'!$B$6:$FG$139,139,0))</f>
        <v>185159.46</v>
      </c>
      <c r="H103" s="37">
        <f t="shared" si="8"/>
        <v>8.127270407895984E-2</v>
      </c>
      <c r="I103" s="60" t="str">
        <f>IF(VLOOKUP(B103,'[1]UT Rate Study HCBS Survey'!$B$6:$FG$139,133,0)=0,"",VLOOKUP(B103,'[1]UT Rate Study HCBS Survey'!$B$6:$FG$139,133,0))</f>
        <v/>
      </c>
      <c r="J103" s="60">
        <f>IF(VLOOKUP(B103,'[1]UT Rate Study HCBS Survey'!$B$6:$FG$139,131,0)=0,"",VLOOKUP(B103,'[1]UT Rate Study HCBS Survey'!$B$6:$FG$139,131,0))</f>
        <v>32000.04</v>
      </c>
      <c r="K103" s="60" t="str">
        <f>IF(VLOOKUP(B103,'[1]UT Rate Study HCBS Survey'!$B$6:$FG$139,134,0)=0,"",VLOOKUP(B103,'[1]UT Rate Study HCBS Survey'!$B$6:$FG$139,134,0))</f>
        <v/>
      </c>
      <c r="L103" s="60" t="str">
        <f>IF(VLOOKUP(B103,'[1]UT Rate Study HCBS Survey'!$B$6:$FG$139,135,0)=0,"",VLOOKUP(B103,'[1]UT Rate Study HCBS Survey'!$B$6:$FG$139,135,0))</f>
        <v/>
      </c>
      <c r="M103" s="37">
        <f t="shared" si="9"/>
        <v>0.20893288835907056</v>
      </c>
      <c r="N103" s="60">
        <f>IF(VLOOKUP(B103,'[1]UT Rate Study HCBS Survey'!$B$6:$FG$139,138,0)=0,"",VLOOKUP(B103,'[1]UT Rate Study HCBS Survey'!$B$6:$FG$139,138,0))</f>
        <v>506613.57</v>
      </c>
      <c r="O103" s="60">
        <f>IF(VLOOKUP(B103,'[1]UT Rate Study HCBS Survey'!$B$6:$FG$139,141,0)=0,"",VLOOKUP(B103,'[1]UT Rate Study HCBS Survey'!$B$6:$FG$139,141,0))</f>
        <v>276148.92</v>
      </c>
      <c r="P103" s="37">
        <f t="shared" si="10"/>
        <v>0.54508788621670745</v>
      </c>
      <c r="Q103" s="36">
        <f t="shared" si="14"/>
        <v>43.493768228546941</v>
      </c>
      <c r="R103" s="9"/>
    </row>
    <row r="104" spans="1:18" x14ac:dyDescent="0.25">
      <c r="A104" s="43" t="s">
        <v>365</v>
      </c>
      <c r="B104" s="43" t="s">
        <v>187</v>
      </c>
      <c r="C104" s="60">
        <f>IF(VLOOKUP(B104,'[1]UT Rate Study HCBS Survey'!$B$6:$FG$139,129,0)=0,"",VLOOKUP(B104,'[1]UT Rate Study HCBS Survey'!$B$6:$FG$139,129,0))</f>
        <v>347455</v>
      </c>
      <c r="D104" s="61">
        <f>IF(VLOOKUP(B104,'[1]UT Rate Study HCBS Survey'!$B$6:$FG$139,130,0)=0,"",VLOOKUP(B104,'[1]UT Rate Study HCBS Survey'!$B$6:$FG$139,130,0))</f>
        <v>18436</v>
      </c>
      <c r="E104" s="36">
        <f t="shared" si="7"/>
        <v>18.846550227815143</v>
      </c>
      <c r="F104" s="60">
        <f>IF(VLOOKUP(B104,'[1]UT Rate Study HCBS Survey'!$B$6:$FG$139,140,0)=0,"",VLOOKUP(B104,'[1]UT Rate Study HCBS Survey'!$B$6:$FG$139,140,0))</f>
        <v>81114</v>
      </c>
      <c r="G104" s="60">
        <f>IF(VLOOKUP(B104,'[1]UT Rate Study HCBS Survey'!$B$6:$FG$139,139,0)=0,"",VLOOKUP(B104,'[1]UT Rate Study HCBS Survey'!$B$6:$FG$139,139,0))</f>
        <v>425525</v>
      </c>
      <c r="H104" s="37">
        <f t="shared" si="8"/>
        <v>0.19062099759121084</v>
      </c>
      <c r="I104" s="60" t="str">
        <f>IF(VLOOKUP(B104,'[1]UT Rate Study HCBS Survey'!$B$6:$FG$139,133,0)=0,"",VLOOKUP(B104,'[1]UT Rate Study HCBS Survey'!$B$6:$FG$139,133,0))</f>
        <v/>
      </c>
      <c r="J104" s="60">
        <f>IF(VLOOKUP(B104,'[1]UT Rate Study HCBS Survey'!$B$6:$FG$139,131,0)=0,"",VLOOKUP(B104,'[1]UT Rate Study HCBS Survey'!$B$6:$FG$139,131,0))</f>
        <v>78070</v>
      </c>
      <c r="K104" s="60">
        <f>IF(VLOOKUP(B104,'[1]UT Rate Study HCBS Survey'!$B$6:$FG$139,134,0)=0,"",VLOOKUP(B104,'[1]UT Rate Study HCBS Survey'!$B$6:$FG$139,134,0))</f>
        <v>13</v>
      </c>
      <c r="L104" s="60">
        <f>IF(VLOOKUP(B104,'[1]UT Rate Study HCBS Survey'!$B$6:$FG$139,135,0)=0,"",VLOOKUP(B104,'[1]UT Rate Study HCBS Survey'!$B$6:$FG$139,135,0))</f>
        <v>247772</v>
      </c>
      <c r="M104" s="37">
        <f t="shared" si="9"/>
        <v>0.93783367630340619</v>
      </c>
      <c r="N104" s="60">
        <f>IF(VLOOKUP(B104,'[1]UT Rate Study HCBS Survey'!$B$6:$FG$139,138,0)=0,"",VLOOKUP(B104,'[1]UT Rate Study HCBS Survey'!$B$6:$FG$139,138,0))</f>
        <v>754424</v>
      </c>
      <c r="O104" s="60">
        <f>IF(VLOOKUP(B104,'[1]UT Rate Study HCBS Survey'!$B$6:$FG$139,141,0)=0,"",VLOOKUP(B104,'[1]UT Rate Study HCBS Survey'!$B$6:$FG$139,141,0))</f>
        <v>253846</v>
      </c>
      <c r="P104" s="37">
        <f t="shared" si="10"/>
        <v>0.3364765702045534</v>
      </c>
      <c r="Q104" s="36">
        <f t="shared" si="14"/>
        <v>60.456083565201752</v>
      </c>
      <c r="R104" s="9"/>
    </row>
    <row r="105" spans="1:18" x14ac:dyDescent="0.25">
      <c r="A105" s="43" t="s">
        <v>365</v>
      </c>
      <c r="B105" s="43" t="s">
        <v>188</v>
      </c>
      <c r="C105" s="60">
        <f>IF(VLOOKUP(B105,'[1]UT Rate Study HCBS Survey'!$B$6:$FG$139,129,0)=0,"",VLOOKUP(B105,'[1]UT Rate Study HCBS Survey'!$B$6:$FG$139,129,0))</f>
        <v>7760257.2599999998</v>
      </c>
      <c r="D105" s="61">
        <f>IF(VLOOKUP(B105,'[1]UT Rate Study HCBS Survey'!$B$6:$FG$139,130,0)=0,"",VLOOKUP(B105,'[1]UT Rate Study HCBS Survey'!$B$6:$FG$139,130,0))</f>
        <v>422699.3</v>
      </c>
      <c r="E105" s="36">
        <f t="shared" si="7"/>
        <v>18.358812659495769</v>
      </c>
      <c r="F105" s="60">
        <f>IF(VLOOKUP(B105,'[1]UT Rate Study HCBS Survey'!$B$6:$FG$139,140,0)=0,"",VLOOKUP(B105,'[1]UT Rate Study HCBS Survey'!$B$6:$FG$139,140,0))</f>
        <v>2305902</v>
      </c>
      <c r="G105" s="60">
        <f>IF(VLOOKUP(B105,'[1]UT Rate Study HCBS Survey'!$B$6:$FG$139,139,0)=0,"",VLOOKUP(B105,'[1]UT Rate Study HCBS Survey'!$B$6:$FG$139,139,0))</f>
        <v>12155647</v>
      </c>
      <c r="H105" s="37">
        <f t="shared" si="8"/>
        <v>0.18969800620238478</v>
      </c>
      <c r="I105" s="60">
        <f>IF(VLOOKUP(B105,'[1]UT Rate Study HCBS Survey'!$B$6:$FG$139,133,0)=0,"",VLOOKUP(B105,'[1]UT Rate Study HCBS Survey'!$B$6:$FG$139,133,0))</f>
        <v>27796.58</v>
      </c>
      <c r="J105" s="60" t="str">
        <f>IF(VLOOKUP(B105,'[1]UT Rate Study HCBS Survey'!$B$6:$FG$139,131,0)=0,"",VLOOKUP(B105,'[1]UT Rate Study HCBS Survey'!$B$6:$FG$139,131,0))</f>
        <v/>
      </c>
      <c r="K105" s="60">
        <f>IF(VLOOKUP(B105,'[1]UT Rate Study HCBS Survey'!$B$6:$FG$139,134,0)=0,"",VLOOKUP(B105,'[1]UT Rate Study HCBS Survey'!$B$6:$FG$139,134,0))</f>
        <v>3610.18</v>
      </c>
      <c r="L105" s="60">
        <f>IF(VLOOKUP(B105,'[1]UT Rate Study HCBS Survey'!$B$6:$FG$139,135,0)=0,"",VLOOKUP(B105,'[1]UT Rate Study HCBS Survey'!$B$6:$FG$139,135,0))</f>
        <v>1390798.98</v>
      </c>
      <c r="M105" s="37">
        <f t="shared" si="9"/>
        <v>0.17904462252664652</v>
      </c>
      <c r="N105" s="60">
        <f>IF(VLOOKUP(B105,'[1]UT Rate Study HCBS Survey'!$B$6:$FG$139,138,0)=0,"",VLOOKUP(B105,'[1]UT Rate Study HCBS Survey'!$B$6:$FG$139,138,0))</f>
        <v>16907483</v>
      </c>
      <c r="O105" s="60">
        <f>IF(VLOOKUP(B105,'[1]UT Rate Study HCBS Survey'!$B$6:$FG$139,141,0)=0,"",VLOOKUP(B105,'[1]UT Rate Study HCBS Survey'!$B$6:$FG$139,141,0))</f>
        <v>508324</v>
      </c>
      <c r="P105" s="37">
        <f t="shared" si="10"/>
        <v>3.0065030968831966E-2</v>
      </c>
      <c r="Q105" s="36">
        <f t="shared" si="14"/>
        <v>25.907396168015232</v>
      </c>
      <c r="R105" s="9"/>
    </row>
    <row r="106" spans="1:18" x14ac:dyDescent="0.25">
      <c r="A106" s="43" t="s">
        <v>365</v>
      </c>
      <c r="B106" s="43" t="s">
        <v>189</v>
      </c>
      <c r="C106" s="60">
        <f>IF(VLOOKUP(B106,'[1]UT Rate Study HCBS Survey'!$B$6:$FG$139,129,0)=0,"",VLOOKUP(B106,'[1]UT Rate Study HCBS Survey'!$B$6:$FG$139,129,0))</f>
        <v>838951.41</v>
      </c>
      <c r="D106" s="61">
        <f>IF(VLOOKUP(B106,'[1]UT Rate Study HCBS Survey'!$B$6:$FG$139,130,0)=0,"",VLOOKUP(B106,'[1]UT Rate Study HCBS Survey'!$B$6:$FG$139,130,0))</f>
        <v>52109.62</v>
      </c>
      <c r="E106" s="36">
        <f t="shared" si="7"/>
        <v>16.099741468082094</v>
      </c>
      <c r="F106" s="60">
        <f>IF(VLOOKUP(B106,'[1]UT Rate Study HCBS Survey'!$B$6:$FG$139,140,0)=0,"",VLOOKUP(B106,'[1]UT Rate Study HCBS Survey'!$B$6:$FG$139,140,0))</f>
        <v>165329.13</v>
      </c>
      <c r="G106" s="60">
        <f>IF(VLOOKUP(B106,'[1]UT Rate Study HCBS Survey'!$B$6:$FG$139,139,0)=0,"",VLOOKUP(B106,'[1]UT Rate Study HCBS Survey'!$B$6:$FG$139,139,0))</f>
        <v>1788662.41</v>
      </c>
      <c r="H106" s="37">
        <f t="shared" si="8"/>
        <v>9.2431712700889165E-2</v>
      </c>
      <c r="I106" s="60" t="str">
        <f>IF(VLOOKUP(B106,'[1]UT Rate Study HCBS Survey'!$B$6:$FG$139,133,0)=0,"",VLOOKUP(B106,'[1]UT Rate Study HCBS Survey'!$B$6:$FG$139,133,0))</f>
        <v/>
      </c>
      <c r="J106" s="60">
        <f>IF(VLOOKUP(B106,'[1]UT Rate Study HCBS Survey'!$B$6:$FG$139,131,0)=0,"",VLOOKUP(B106,'[1]UT Rate Study HCBS Survey'!$B$6:$FG$139,131,0))</f>
        <v>949671</v>
      </c>
      <c r="K106" s="60">
        <f>IF(VLOOKUP(B106,'[1]UT Rate Study HCBS Survey'!$B$6:$FG$139,134,0)=0,"",VLOOKUP(B106,'[1]UT Rate Study HCBS Survey'!$B$6:$FG$139,134,0))</f>
        <v>7737.03</v>
      </c>
      <c r="L106" s="60">
        <f>IF(VLOOKUP(B106,'[1]UT Rate Study HCBS Survey'!$B$6:$FG$139,135,0)=0,"",VLOOKUP(B106,'[1]UT Rate Study HCBS Survey'!$B$6:$FG$139,135,0))</f>
        <v>16108.89</v>
      </c>
      <c r="M106" s="37">
        <f t="shared" si="9"/>
        <v>1.1603972630548414</v>
      </c>
      <c r="N106" s="60">
        <f>IF(VLOOKUP(B106,'[1]UT Rate Study HCBS Survey'!$B$6:$FG$139,138,0)=0,"",VLOOKUP(B106,'[1]UT Rate Study HCBS Survey'!$B$6:$FG$139,138,0))</f>
        <v>2667107.58</v>
      </c>
      <c r="O106" s="60">
        <f>IF(VLOOKUP(B106,'[1]UT Rate Study HCBS Survey'!$B$6:$FG$139,141,0)=0,"",VLOOKUP(B106,'[1]UT Rate Study HCBS Survey'!$B$6:$FG$139,141,0))</f>
        <v>2650998.69</v>
      </c>
      <c r="P106" s="37">
        <f t="shared" si="10"/>
        <v>0.99396016489143635</v>
      </c>
      <c r="Q106" s="36">
        <f t="shared" si="14"/>
        <v>6005.124879989794</v>
      </c>
      <c r="R106" s="9"/>
    </row>
    <row r="107" spans="1:18" x14ac:dyDescent="0.25">
      <c r="A107" s="43" t="s">
        <v>365</v>
      </c>
      <c r="B107" s="43" t="s">
        <v>190</v>
      </c>
      <c r="C107" s="60">
        <f>IF(VLOOKUP(B107,'[1]UT Rate Study HCBS Survey'!$B$6:$FG$139,129,0)=0,"",VLOOKUP(B107,'[1]UT Rate Study HCBS Survey'!$B$6:$FG$139,129,0))</f>
        <v>264</v>
      </c>
      <c r="D107" s="61">
        <f>IF(VLOOKUP(B107,'[1]UT Rate Study HCBS Survey'!$B$6:$FG$139,130,0)=0,"",VLOOKUP(B107,'[1]UT Rate Study HCBS Survey'!$B$6:$FG$139,130,0))</f>
        <v>24</v>
      </c>
      <c r="E107" s="36">
        <f t="shared" si="7"/>
        <v>11</v>
      </c>
      <c r="F107" s="60" t="str">
        <f>IF(VLOOKUP(B107,'[1]UT Rate Study HCBS Survey'!$B$6:$FG$139,140,0)=0,"",VLOOKUP(B107,'[1]UT Rate Study HCBS Survey'!$B$6:$FG$139,140,0))</f>
        <v/>
      </c>
      <c r="G107" s="60" t="str">
        <f>IF(VLOOKUP(B107,'[1]UT Rate Study HCBS Survey'!$B$6:$FG$139,139,0)=0,"",VLOOKUP(B107,'[1]UT Rate Study HCBS Survey'!$B$6:$FG$139,139,0))</f>
        <v/>
      </c>
      <c r="H107" s="37" t="str">
        <f t="shared" si="8"/>
        <v/>
      </c>
      <c r="I107" s="60" t="str">
        <f>IF(VLOOKUP(B107,'[1]UT Rate Study HCBS Survey'!$B$6:$FG$139,133,0)=0,"",VLOOKUP(B107,'[1]UT Rate Study HCBS Survey'!$B$6:$FG$139,133,0))</f>
        <v/>
      </c>
      <c r="J107" s="60">
        <f>IF(VLOOKUP(B107,'[1]UT Rate Study HCBS Survey'!$B$6:$FG$139,131,0)=0,"",VLOOKUP(B107,'[1]UT Rate Study HCBS Survey'!$B$6:$FG$139,131,0))</f>
        <v>120</v>
      </c>
      <c r="K107" s="60" t="str">
        <f>IF(VLOOKUP(B107,'[1]UT Rate Study HCBS Survey'!$B$6:$FG$139,134,0)=0,"",VLOOKUP(B107,'[1]UT Rate Study HCBS Survey'!$B$6:$FG$139,134,0))</f>
        <v/>
      </c>
      <c r="L107" s="60" t="str">
        <f>IF(VLOOKUP(B107,'[1]UT Rate Study HCBS Survey'!$B$6:$FG$139,135,0)=0,"",VLOOKUP(B107,'[1]UT Rate Study HCBS Survey'!$B$6:$FG$139,135,0))</f>
        <v/>
      </c>
      <c r="M107" s="37">
        <f t="shared" si="9"/>
        <v>0.45454545454545453</v>
      </c>
      <c r="N107" s="60" t="str">
        <f>IF(VLOOKUP(B107,'[1]UT Rate Study HCBS Survey'!$B$6:$FG$139,138,0)=0,"",VLOOKUP(B107,'[1]UT Rate Study HCBS Survey'!$B$6:$FG$139,138,0))</f>
        <v/>
      </c>
      <c r="O107" s="60" t="str">
        <f>IF(VLOOKUP(B107,'[1]UT Rate Study HCBS Survey'!$B$6:$FG$139,141,0)=0,"",VLOOKUP(B107,'[1]UT Rate Study HCBS Survey'!$B$6:$FG$139,141,0))</f>
        <v/>
      </c>
      <c r="P107" s="37" t="str">
        <f t="shared" si="10"/>
        <v/>
      </c>
      <c r="Q107" s="36">
        <f t="shared" si="12"/>
        <v>16</v>
      </c>
      <c r="R107" s="153"/>
    </row>
    <row r="108" spans="1:18" x14ac:dyDescent="0.25">
      <c r="A108" s="43" t="s">
        <v>365</v>
      </c>
      <c r="B108" s="43" t="s">
        <v>191</v>
      </c>
      <c r="C108" s="60">
        <f>IF(VLOOKUP(B108,'[1]UT Rate Study HCBS Survey'!$B$6:$FG$139,129,0)=0,"",VLOOKUP(B108,'[1]UT Rate Study HCBS Survey'!$B$6:$FG$139,129,0))</f>
        <v>1788484.79</v>
      </c>
      <c r="D108" s="61">
        <f>IF(VLOOKUP(B108,'[1]UT Rate Study HCBS Survey'!$B$6:$FG$139,130,0)=0,"",VLOOKUP(B108,'[1]UT Rate Study HCBS Survey'!$B$6:$FG$139,130,0))</f>
        <v>96326.11</v>
      </c>
      <c r="E108" s="36">
        <f t="shared" si="7"/>
        <v>18.566978257504637</v>
      </c>
      <c r="F108" s="60">
        <f>IF(VLOOKUP(B108,'[1]UT Rate Study HCBS Survey'!$B$6:$FG$139,140,0)=0,"",VLOOKUP(B108,'[1]UT Rate Study HCBS Survey'!$B$6:$FG$139,140,0))</f>
        <v>538911.05000000005</v>
      </c>
      <c r="G108" s="60">
        <f>IF(VLOOKUP(B108,'[1]UT Rate Study HCBS Survey'!$B$6:$FG$139,139,0)=0,"",VLOOKUP(B108,'[1]UT Rate Study HCBS Survey'!$B$6:$FG$139,139,0))</f>
        <v>2755238.31</v>
      </c>
      <c r="H108" s="37">
        <f t="shared" si="8"/>
        <v>0.19559507721856553</v>
      </c>
      <c r="I108" s="60" t="str">
        <f>IF(VLOOKUP(B108,'[1]UT Rate Study HCBS Survey'!$B$6:$FG$139,133,0)=0,"",VLOOKUP(B108,'[1]UT Rate Study HCBS Survey'!$B$6:$FG$139,133,0))</f>
        <v/>
      </c>
      <c r="J108" s="60">
        <f>IF(VLOOKUP(B108,'[1]UT Rate Study HCBS Survey'!$B$6:$FG$139,131,0)=0,"",VLOOKUP(B108,'[1]UT Rate Study HCBS Survey'!$B$6:$FG$139,131,0))</f>
        <v>126125.33</v>
      </c>
      <c r="K108" s="60">
        <f>IF(VLOOKUP(B108,'[1]UT Rate Study HCBS Survey'!$B$6:$FG$139,134,0)=0,"",VLOOKUP(B108,'[1]UT Rate Study HCBS Survey'!$B$6:$FG$139,134,0))</f>
        <v>10281.700000000001</v>
      </c>
      <c r="L108" s="60">
        <f>IF(VLOOKUP(B108,'[1]UT Rate Study HCBS Survey'!$B$6:$FG$139,135,0)=0,"",VLOOKUP(B108,'[1]UT Rate Study HCBS Survey'!$B$6:$FG$139,135,0))</f>
        <v>894149.22</v>
      </c>
      <c r="M108" s="37">
        <f t="shared" si="9"/>
        <v>0.57621750867671617</v>
      </c>
      <c r="N108" s="60">
        <f>IF(VLOOKUP(B108,'[1]UT Rate Study HCBS Survey'!$B$6:$FG$139,138,0)=0,"",VLOOKUP(B108,'[1]UT Rate Study HCBS Survey'!$B$6:$FG$139,138,0))</f>
        <v>4665358.71</v>
      </c>
      <c r="O108" s="60">
        <f>IF(VLOOKUP(B108,'[1]UT Rate Study HCBS Survey'!$B$6:$FG$139,141,0)=0,"",VLOOKUP(B108,'[1]UT Rate Study HCBS Survey'!$B$6:$FG$139,141,0))</f>
        <v>834225.36</v>
      </c>
      <c r="P108" s="37">
        <f t="shared" si="10"/>
        <v>0.17881269412615006</v>
      </c>
      <c r="Q108" s="36">
        <f t="shared" si="14"/>
        <v>40.060538592573423</v>
      </c>
      <c r="R108" s="9"/>
    </row>
    <row r="109" spans="1:18" x14ac:dyDescent="0.25">
      <c r="A109" s="43" t="s">
        <v>365</v>
      </c>
      <c r="B109" s="43" t="s">
        <v>192</v>
      </c>
      <c r="C109" s="60">
        <f>IF(VLOOKUP(B109,'[1]UT Rate Study HCBS Survey'!$B$6:$FG$139,129,0)=0,"",VLOOKUP(B109,'[1]UT Rate Study HCBS Survey'!$B$6:$FG$139,129,0))</f>
        <v>2159072</v>
      </c>
      <c r="D109" s="61">
        <f>IF(VLOOKUP(B109,'[1]UT Rate Study HCBS Survey'!$B$6:$FG$139,130,0)=0,"",VLOOKUP(B109,'[1]UT Rate Study HCBS Survey'!$B$6:$FG$139,130,0))</f>
        <v>106910</v>
      </c>
      <c r="E109" s="36">
        <f t="shared" si="7"/>
        <v>20.195229632401084</v>
      </c>
      <c r="F109" s="60">
        <f>IF(VLOOKUP(B109,'[1]UT Rate Study HCBS Survey'!$B$6:$FG$139,140,0)=0,"",VLOOKUP(B109,'[1]UT Rate Study HCBS Survey'!$B$6:$FG$139,140,0))</f>
        <v>1572192</v>
      </c>
      <c r="G109" s="60">
        <f>IF(VLOOKUP(B109,'[1]UT Rate Study HCBS Survey'!$B$6:$FG$139,139,0)=0,"",VLOOKUP(B109,'[1]UT Rate Study HCBS Survey'!$B$6:$FG$139,139,0))</f>
        <v>8619560</v>
      </c>
      <c r="H109" s="37">
        <f t="shared" si="8"/>
        <v>0.18239817345664977</v>
      </c>
      <c r="I109" s="60">
        <f>IF(VLOOKUP(B109,'[1]UT Rate Study HCBS Survey'!$B$6:$FG$139,133,0)=0,"",VLOOKUP(B109,'[1]UT Rate Study HCBS Survey'!$B$6:$FG$139,133,0))</f>
        <v>581190</v>
      </c>
      <c r="J109" s="60">
        <f>IF(VLOOKUP(B109,'[1]UT Rate Study HCBS Survey'!$B$6:$FG$139,131,0)=0,"",VLOOKUP(B109,'[1]UT Rate Study HCBS Survey'!$B$6:$FG$139,131,0))</f>
        <v>638795</v>
      </c>
      <c r="K109" s="60" t="str">
        <f>IF(VLOOKUP(B109,'[1]UT Rate Study HCBS Survey'!$B$6:$FG$139,134,0)=0,"",VLOOKUP(B109,'[1]UT Rate Study HCBS Survey'!$B$6:$FG$139,134,0))</f>
        <v/>
      </c>
      <c r="L109" s="60">
        <f>IF(VLOOKUP(B109,'[1]UT Rate Study HCBS Survey'!$B$6:$FG$139,135,0)=0,"",VLOOKUP(B109,'[1]UT Rate Study HCBS Survey'!$B$6:$FG$139,135,0))</f>
        <v>28084544</v>
      </c>
      <c r="M109" s="37">
        <f t="shared" si="9"/>
        <v>10.48196814757129</v>
      </c>
      <c r="N109" s="60">
        <f>IF(VLOOKUP(B109,'[1]UT Rate Study HCBS Survey'!$B$6:$FG$139,138,0)=0,"",VLOOKUP(B109,'[1]UT Rate Study HCBS Survey'!$B$6:$FG$139,138,0))</f>
        <v>17443957</v>
      </c>
      <c r="O109" s="60">
        <f>IF(VLOOKUP(B109,'[1]UT Rate Study HCBS Survey'!$B$6:$FG$139,141,0)=0,"",VLOOKUP(B109,'[1]UT Rate Study HCBS Survey'!$B$6:$FG$139,141,0))</f>
        <v>11520702</v>
      </c>
      <c r="P109" s="37">
        <f t="shared" si="10"/>
        <v>0.66044086212778441</v>
      </c>
      <c r="Q109" s="36">
        <f t="shared" si="14"/>
        <v>693.73646618885391</v>
      </c>
      <c r="R109" s="9"/>
    </row>
    <row r="110" spans="1:18" x14ac:dyDescent="0.25">
      <c r="A110" s="43" t="s">
        <v>365</v>
      </c>
      <c r="B110" s="43" t="s">
        <v>194</v>
      </c>
      <c r="C110" s="60">
        <f>IF(VLOOKUP(B110,'[1]UT Rate Study HCBS Survey'!$B$6:$FG$139,129,0)=0,"",VLOOKUP(B110,'[1]UT Rate Study HCBS Survey'!$B$6:$FG$139,129,0))</f>
        <v>56520.55</v>
      </c>
      <c r="D110" s="61">
        <f>IF(VLOOKUP(B110,'[1]UT Rate Study HCBS Survey'!$B$6:$FG$139,130,0)=0,"",VLOOKUP(B110,'[1]UT Rate Study HCBS Survey'!$B$6:$FG$139,130,0))</f>
        <v>810</v>
      </c>
      <c r="E110" s="36">
        <f t="shared" si="7"/>
        <v>69.778456790123457</v>
      </c>
      <c r="F110" s="60">
        <f>IF(VLOOKUP(B110,'[1]UT Rate Study HCBS Survey'!$B$6:$FG$139,140,0)=0,"",VLOOKUP(B110,'[1]UT Rate Study HCBS Survey'!$B$6:$FG$139,140,0))</f>
        <v>3400</v>
      </c>
      <c r="G110" s="60">
        <f>IF(VLOOKUP(B110,'[1]UT Rate Study HCBS Survey'!$B$6:$FG$139,139,0)=0,"",VLOOKUP(B110,'[1]UT Rate Study HCBS Survey'!$B$6:$FG$139,139,0))</f>
        <v>56520.55</v>
      </c>
      <c r="H110" s="37">
        <f t="shared" si="8"/>
        <v>6.0155111724850517E-2</v>
      </c>
      <c r="I110" s="60" t="str">
        <f>IF(VLOOKUP(B110,'[1]UT Rate Study HCBS Survey'!$B$6:$FG$139,133,0)=0,"",VLOOKUP(B110,'[1]UT Rate Study HCBS Survey'!$B$6:$FG$139,133,0))</f>
        <v/>
      </c>
      <c r="J110" s="60" t="str">
        <f>IF(VLOOKUP(B110,'[1]UT Rate Study HCBS Survey'!$B$6:$FG$139,131,0)=0,"",VLOOKUP(B110,'[1]UT Rate Study HCBS Survey'!$B$6:$FG$139,131,0))</f>
        <v/>
      </c>
      <c r="K110" s="60" t="str">
        <f>IF(VLOOKUP(B110,'[1]UT Rate Study HCBS Survey'!$B$6:$FG$139,134,0)=0,"",VLOOKUP(B110,'[1]UT Rate Study HCBS Survey'!$B$6:$FG$139,134,0))</f>
        <v/>
      </c>
      <c r="L110" s="60">
        <f>IF(VLOOKUP(B110,'[1]UT Rate Study HCBS Survey'!$B$6:$FG$139,135,0)=0,"",VLOOKUP(B110,'[1]UT Rate Study HCBS Survey'!$B$6:$FG$139,135,0))</f>
        <v>9000</v>
      </c>
      <c r="M110" s="37">
        <f t="shared" si="9"/>
        <v>0.15923411927166314</v>
      </c>
      <c r="N110" s="60">
        <f>IF(VLOOKUP(B110,'[1]UT Rate Study HCBS Survey'!$B$6:$FG$139,138,0)=0,"",VLOOKUP(B110,'[1]UT Rate Study HCBS Survey'!$B$6:$FG$139,138,0))</f>
        <v>68920.55</v>
      </c>
      <c r="O110" s="60">
        <f>IF(VLOOKUP(B110,'[1]UT Rate Study HCBS Survey'!$B$6:$FG$139,141,0)=0,"",VLOOKUP(B110,'[1]UT Rate Study HCBS Survey'!$B$6:$FG$139,141,0))</f>
        <v>9000</v>
      </c>
      <c r="P110" s="37">
        <f t="shared" si="10"/>
        <v>0.13058514477902453</v>
      </c>
      <c r="Q110" s="36">
        <f t="shared" si="14"/>
        <v>97.867086413891414</v>
      </c>
      <c r="R110" s="9"/>
    </row>
    <row r="111" spans="1:18" x14ac:dyDescent="0.25">
      <c r="A111" s="43" t="s">
        <v>365</v>
      </c>
      <c r="B111" s="43" t="s">
        <v>195</v>
      </c>
      <c r="C111" s="60">
        <f>IF(VLOOKUP(B111,'[1]UT Rate Study HCBS Survey'!$B$6:$FG$139,129,0)=0,"",VLOOKUP(B111,'[1]UT Rate Study HCBS Survey'!$B$6:$FG$139,129,0))</f>
        <v>22390.29</v>
      </c>
      <c r="D111" s="61">
        <f>IF(VLOOKUP(B111,'[1]UT Rate Study HCBS Survey'!$B$6:$FG$139,130,0)=0,"",VLOOKUP(B111,'[1]UT Rate Study HCBS Survey'!$B$6:$FG$139,130,0))</f>
        <v>1279</v>
      </c>
      <c r="E111" s="36">
        <f t="shared" si="7"/>
        <v>17.506090695856138</v>
      </c>
      <c r="F111" s="60" t="str">
        <f>IF(VLOOKUP(B111,'[1]UT Rate Study HCBS Survey'!$B$6:$FG$139,140,0)=0,"",VLOOKUP(B111,'[1]UT Rate Study HCBS Survey'!$B$6:$FG$139,140,0))</f>
        <v/>
      </c>
      <c r="G111" s="60">
        <f>IF(VLOOKUP(B111,'[1]UT Rate Study HCBS Survey'!$B$6:$FG$139,139,0)=0,"",VLOOKUP(B111,'[1]UT Rate Study HCBS Survey'!$B$6:$FG$139,139,0))</f>
        <v>22390.29</v>
      </c>
      <c r="H111" s="37" t="str">
        <f t="shared" si="8"/>
        <v/>
      </c>
      <c r="I111" s="60" t="str">
        <f>IF(VLOOKUP(B111,'[1]UT Rate Study HCBS Survey'!$B$6:$FG$139,133,0)=0,"",VLOOKUP(B111,'[1]UT Rate Study HCBS Survey'!$B$6:$FG$139,133,0))</f>
        <v/>
      </c>
      <c r="J111" s="60" t="str">
        <f>IF(VLOOKUP(B111,'[1]UT Rate Study HCBS Survey'!$B$6:$FG$139,131,0)=0,"",VLOOKUP(B111,'[1]UT Rate Study HCBS Survey'!$B$6:$FG$139,131,0))</f>
        <v/>
      </c>
      <c r="K111" s="60" t="str">
        <f>IF(VLOOKUP(B111,'[1]UT Rate Study HCBS Survey'!$B$6:$FG$139,134,0)=0,"",VLOOKUP(B111,'[1]UT Rate Study HCBS Survey'!$B$6:$FG$139,134,0))</f>
        <v/>
      </c>
      <c r="L111" s="60">
        <f>IF(VLOOKUP(B111,'[1]UT Rate Study HCBS Survey'!$B$6:$FG$139,135,0)=0,"",VLOOKUP(B111,'[1]UT Rate Study HCBS Survey'!$B$6:$FG$139,135,0))</f>
        <v>3400</v>
      </c>
      <c r="M111" s="37">
        <f t="shared" si="9"/>
        <v>0.15185153921632993</v>
      </c>
      <c r="N111" s="60">
        <f>IF(VLOOKUP(B111,'[1]UT Rate Study HCBS Survey'!$B$6:$FG$139,138,0)=0,"",VLOOKUP(B111,'[1]UT Rate Study HCBS Survey'!$B$6:$FG$139,138,0))</f>
        <v>16616</v>
      </c>
      <c r="O111" s="60" t="str">
        <f>IF(VLOOKUP(B111,'[1]UT Rate Study HCBS Survey'!$B$6:$FG$139,141,0)=0,"",VLOOKUP(B111,'[1]UT Rate Study HCBS Survey'!$B$6:$FG$139,141,0))</f>
        <v/>
      </c>
      <c r="P111" s="37" t="str">
        <f t="shared" si="10"/>
        <v/>
      </c>
      <c r="Q111" s="36">
        <f t="shared" si="12"/>
        <v>20.164417513682565</v>
      </c>
      <c r="R111" s="9"/>
    </row>
    <row r="112" spans="1:18" x14ac:dyDescent="0.25">
      <c r="A112" s="43" t="s">
        <v>365</v>
      </c>
      <c r="B112" s="43" t="s">
        <v>196</v>
      </c>
      <c r="C112" s="60">
        <f>IF(VLOOKUP(B112,'[1]UT Rate Study HCBS Survey'!$B$6:$FG$139,129,0)=0,"",VLOOKUP(B112,'[1]UT Rate Study HCBS Survey'!$B$6:$FG$139,129,0))</f>
        <v>1950</v>
      </c>
      <c r="D112" s="61">
        <f>IF(VLOOKUP(B112,'[1]UT Rate Study HCBS Survey'!$B$6:$FG$139,130,0)=0,"",VLOOKUP(B112,'[1]UT Rate Study HCBS Survey'!$B$6:$FG$139,130,0))</f>
        <v>95</v>
      </c>
      <c r="E112" s="36">
        <f t="shared" si="7"/>
        <v>20.526315789473685</v>
      </c>
      <c r="F112" s="60">
        <f>IF(VLOOKUP(B112,'[1]UT Rate Study HCBS Survey'!$B$6:$FG$139,140,0)=0,"",VLOOKUP(B112,'[1]UT Rate Study HCBS Survey'!$B$6:$FG$139,140,0))</f>
        <v>154</v>
      </c>
      <c r="G112" s="60">
        <f>IF(VLOOKUP(B112,'[1]UT Rate Study HCBS Survey'!$B$6:$FG$139,139,0)=0,"",VLOOKUP(B112,'[1]UT Rate Study HCBS Survey'!$B$6:$FG$139,139,0))</f>
        <v>1950</v>
      </c>
      <c r="H112" s="37">
        <f t="shared" si="8"/>
        <v>7.8974358974358977E-2</v>
      </c>
      <c r="I112" s="60" t="str">
        <f>IF(VLOOKUP(B112,'[1]UT Rate Study HCBS Survey'!$B$6:$FG$139,133,0)=0,"",VLOOKUP(B112,'[1]UT Rate Study HCBS Survey'!$B$6:$FG$139,133,0))</f>
        <v/>
      </c>
      <c r="J112" s="60" t="str">
        <f>IF(VLOOKUP(B112,'[1]UT Rate Study HCBS Survey'!$B$6:$FG$139,131,0)=0,"",VLOOKUP(B112,'[1]UT Rate Study HCBS Survey'!$B$6:$FG$139,131,0))</f>
        <v/>
      </c>
      <c r="K112" s="60" t="str">
        <f>IF(VLOOKUP(B112,'[1]UT Rate Study HCBS Survey'!$B$6:$FG$139,134,0)=0,"",VLOOKUP(B112,'[1]UT Rate Study HCBS Survey'!$B$6:$FG$139,134,0))</f>
        <v/>
      </c>
      <c r="L112" s="60">
        <f>IF(VLOOKUP(B112,'[1]UT Rate Study HCBS Survey'!$B$6:$FG$139,135,0)=0,"",VLOOKUP(B112,'[1]UT Rate Study HCBS Survey'!$B$6:$FG$139,135,0))</f>
        <v>150</v>
      </c>
      <c r="M112" s="37">
        <f t="shared" si="9"/>
        <v>7.6923076923076927E-2</v>
      </c>
      <c r="N112" s="60">
        <f>IF(VLOOKUP(B112,'[1]UT Rate Study HCBS Survey'!$B$6:$FG$139,138,0)=0,"",VLOOKUP(B112,'[1]UT Rate Study HCBS Survey'!$B$6:$FG$139,138,0))</f>
        <v>12800</v>
      </c>
      <c r="O112" s="60">
        <f>IF(VLOOKUP(B112,'[1]UT Rate Study HCBS Survey'!$B$6:$FG$139,141,0)=0,"",VLOOKUP(B112,'[1]UT Rate Study HCBS Survey'!$B$6:$FG$139,141,0))</f>
        <v>1950</v>
      </c>
      <c r="P112" s="37">
        <f t="shared" si="10"/>
        <v>0.15234375</v>
      </c>
      <c r="Q112" s="36">
        <f t="shared" si="14"/>
        <v>27.990492359932087</v>
      </c>
      <c r="R112" s="9"/>
    </row>
    <row r="113" spans="1:18" x14ac:dyDescent="0.25">
      <c r="A113" s="43" t="s">
        <v>365</v>
      </c>
      <c r="B113" s="43" t="s">
        <v>197</v>
      </c>
      <c r="C113" s="60">
        <f>IF(VLOOKUP(B113,'[1]UT Rate Study HCBS Survey'!$B$6:$FG$139,129,0)=0,"",VLOOKUP(B113,'[1]UT Rate Study HCBS Survey'!$B$6:$FG$139,129,0))</f>
        <v>219099.11</v>
      </c>
      <c r="D113" s="61">
        <f>IF(VLOOKUP(B113,'[1]UT Rate Study HCBS Survey'!$B$6:$FG$139,130,0)=0,"",VLOOKUP(B113,'[1]UT Rate Study HCBS Survey'!$B$6:$FG$139,130,0))</f>
        <v>17260.400000000001</v>
      </c>
      <c r="E113" s="36">
        <f t="shared" si="7"/>
        <v>12.693744640912143</v>
      </c>
      <c r="F113" s="60" t="str">
        <f>IF(VLOOKUP(B113,'[1]UT Rate Study HCBS Survey'!$B$6:$FG$139,140,0)=0,"",VLOOKUP(B113,'[1]UT Rate Study HCBS Survey'!$B$6:$FG$139,140,0))</f>
        <v/>
      </c>
      <c r="G113" s="60">
        <f>IF(VLOOKUP(B113,'[1]UT Rate Study HCBS Survey'!$B$6:$FG$139,139,0)=0,"",VLOOKUP(B113,'[1]UT Rate Study HCBS Survey'!$B$6:$FG$139,139,0))</f>
        <v>285755.74</v>
      </c>
      <c r="H113" s="37" t="str">
        <f t="shared" si="8"/>
        <v/>
      </c>
      <c r="I113" s="60" t="str">
        <f>IF(VLOOKUP(B113,'[1]UT Rate Study HCBS Survey'!$B$6:$FG$139,133,0)=0,"",VLOOKUP(B113,'[1]UT Rate Study HCBS Survey'!$B$6:$FG$139,133,0))</f>
        <v/>
      </c>
      <c r="J113" s="60">
        <f>IF(VLOOKUP(B113,'[1]UT Rate Study HCBS Survey'!$B$6:$FG$139,131,0)=0,"",VLOOKUP(B113,'[1]UT Rate Study HCBS Survey'!$B$6:$FG$139,131,0))</f>
        <v>66656.63</v>
      </c>
      <c r="K113" s="60">
        <f>IF(VLOOKUP(B113,'[1]UT Rate Study HCBS Survey'!$B$6:$FG$139,134,0)=0,"",VLOOKUP(B113,'[1]UT Rate Study HCBS Survey'!$B$6:$FG$139,134,0))</f>
        <v>6962.71</v>
      </c>
      <c r="L113" s="60">
        <f>IF(VLOOKUP(B113,'[1]UT Rate Study HCBS Survey'!$B$6:$FG$139,135,0)=0,"",VLOOKUP(B113,'[1]UT Rate Study HCBS Survey'!$B$6:$FG$139,135,0))</f>
        <v>1938.77</v>
      </c>
      <c r="M113" s="37">
        <f t="shared" si="9"/>
        <v>0.34485813292441042</v>
      </c>
      <c r="N113" s="60">
        <f>IF(VLOOKUP(B113,'[1]UT Rate Study HCBS Survey'!$B$6:$FG$139,138,0)=0,"",VLOOKUP(B113,'[1]UT Rate Study HCBS Survey'!$B$6:$FG$139,138,0))</f>
        <v>653242.12</v>
      </c>
      <c r="O113" s="60">
        <f>IF(VLOOKUP(B113,'[1]UT Rate Study HCBS Survey'!$B$6:$FG$139,141,0)=0,"",VLOOKUP(B113,'[1]UT Rate Study HCBS Survey'!$B$6:$FG$139,141,0))</f>
        <v>102310.26</v>
      </c>
      <c r="P113" s="37">
        <f t="shared" si="10"/>
        <v>0.156619202693176</v>
      </c>
      <c r="Q113" s="36">
        <f>IFERROR((E113+(E113*M113))/(1-P113),"")</f>
        <v>20.24149206634802</v>
      </c>
      <c r="R113" s="9"/>
    </row>
    <row r="114" spans="1:18" x14ac:dyDescent="0.25">
      <c r="A114" s="43" t="s">
        <v>365</v>
      </c>
      <c r="B114" s="43" t="s">
        <v>198</v>
      </c>
      <c r="C114" s="60">
        <f>IF(VLOOKUP(B114,'[1]UT Rate Study HCBS Survey'!$B$6:$FG$139,129,0)=0,"",VLOOKUP(B114,'[1]UT Rate Study HCBS Survey'!$B$6:$FG$139,129,0))</f>
        <v>280441.88</v>
      </c>
      <c r="D114" s="61">
        <f>IF(VLOOKUP(B114,'[1]UT Rate Study HCBS Survey'!$B$6:$FG$139,130,0)=0,"",VLOOKUP(B114,'[1]UT Rate Study HCBS Survey'!$B$6:$FG$139,130,0))</f>
        <v>14013.11</v>
      </c>
      <c r="E114" s="36">
        <f t="shared" si="7"/>
        <v>20.012822278566286</v>
      </c>
      <c r="F114" s="60">
        <f>IF(VLOOKUP(B114,'[1]UT Rate Study HCBS Survey'!$B$6:$FG$139,140,0)=0,"",VLOOKUP(B114,'[1]UT Rate Study HCBS Survey'!$B$6:$FG$139,140,0))</f>
        <v>39892.92</v>
      </c>
      <c r="G114" s="60">
        <f>IF(VLOOKUP(B114,'[1]UT Rate Study HCBS Survey'!$B$6:$FG$139,139,0)=0,"",VLOOKUP(B114,'[1]UT Rate Study HCBS Survey'!$B$6:$FG$139,139,0))</f>
        <v>337827.24</v>
      </c>
      <c r="H114" s="37">
        <f t="shared" si="8"/>
        <v>0.11808674753403545</v>
      </c>
      <c r="I114" s="60" t="str">
        <f>IF(VLOOKUP(B114,'[1]UT Rate Study HCBS Survey'!$B$6:$FG$139,133,0)=0,"",VLOOKUP(B114,'[1]UT Rate Study HCBS Survey'!$B$6:$FG$139,133,0))</f>
        <v/>
      </c>
      <c r="J114" s="60">
        <f>IF(VLOOKUP(B114,'[1]UT Rate Study HCBS Survey'!$B$6:$FG$139,131,0)=0,"",VLOOKUP(B114,'[1]UT Rate Study HCBS Survey'!$B$6:$FG$139,131,0))</f>
        <v>79525.42</v>
      </c>
      <c r="K114" s="60">
        <f>IF(VLOOKUP(B114,'[1]UT Rate Study HCBS Survey'!$B$6:$FG$139,134,0)=0,"",VLOOKUP(B114,'[1]UT Rate Study HCBS Survey'!$B$6:$FG$139,134,0))</f>
        <v>11280</v>
      </c>
      <c r="L114" s="60">
        <f>IF(VLOOKUP(B114,'[1]UT Rate Study HCBS Survey'!$B$6:$FG$139,135,0)=0,"",VLOOKUP(B114,'[1]UT Rate Study HCBS Survey'!$B$6:$FG$139,135,0))</f>
        <v>40382.239999999998</v>
      </c>
      <c r="M114" s="37">
        <f t="shared" si="9"/>
        <v>0.46778911908592252</v>
      </c>
      <c r="N114" s="60">
        <f>IF(VLOOKUP(B114,'[1]UT Rate Study HCBS Survey'!$B$6:$FG$139,138,0)=0,"",VLOOKUP(B114,'[1]UT Rate Study HCBS Survey'!$B$6:$FG$139,138,0))</f>
        <v>463660.5</v>
      </c>
      <c r="O114" s="60">
        <f>IF(VLOOKUP(B114,'[1]UT Rate Study HCBS Survey'!$B$6:$FG$139,141,0)=0,"",VLOOKUP(B114,'[1]UT Rate Study HCBS Survey'!$B$6:$FG$139,141,0))</f>
        <v>28808.59</v>
      </c>
      <c r="P114" s="37">
        <f t="shared" si="10"/>
        <v>6.2132939942048118E-2</v>
      </c>
      <c r="Q114" s="36">
        <f t="shared" si="14"/>
        <v>33.84045908656968</v>
      </c>
      <c r="R114" s="9"/>
    </row>
    <row r="115" spans="1:18" x14ac:dyDescent="0.25">
      <c r="A115" s="43" t="s">
        <v>365</v>
      </c>
      <c r="B115" s="43" t="s">
        <v>199</v>
      </c>
      <c r="C115" s="60">
        <f>IF(VLOOKUP(B115,'[1]UT Rate Study HCBS Survey'!$B$6:$FG$139,129,0)=0,"",VLOOKUP(B115,'[1]UT Rate Study HCBS Survey'!$B$6:$FG$139,129,0))</f>
        <v>744250.77</v>
      </c>
      <c r="D115" s="61">
        <f>IF(VLOOKUP(B115,'[1]UT Rate Study HCBS Survey'!$B$6:$FG$139,130,0)=0,"",VLOOKUP(B115,'[1]UT Rate Study HCBS Survey'!$B$6:$FG$139,130,0))</f>
        <v>34522.9</v>
      </c>
      <c r="E115" s="36">
        <f t="shared" si="7"/>
        <v>21.558176456786654</v>
      </c>
      <c r="F115" s="60">
        <f>IF(VLOOKUP(B115,'[1]UT Rate Study HCBS Survey'!$B$6:$FG$139,140,0)=0,"",VLOOKUP(B115,'[1]UT Rate Study HCBS Survey'!$B$6:$FG$139,140,0))</f>
        <v>44082.65</v>
      </c>
      <c r="G115" s="60">
        <f>IF(VLOOKUP(B115,'[1]UT Rate Study HCBS Survey'!$B$6:$FG$139,139,0)=0,"",VLOOKUP(B115,'[1]UT Rate Study HCBS Survey'!$B$6:$FG$139,139,0))</f>
        <v>855879.5</v>
      </c>
      <c r="H115" s="37">
        <f t="shared" si="8"/>
        <v>5.1505673403791072E-2</v>
      </c>
      <c r="I115" s="60" t="str">
        <f>IF(VLOOKUP(B115,'[1]UT Rate Study HCBS Survey'!$B$6:$FG$139,133,0)=0,"",VLOOKUP(B115,'[1]UT Rate Study HCBS Survey'!$B$6:$FG$139,133,0))</f>
        <v/>
      </c>
      <c r="J115" s="60">
        <f>IF(VLOOKUP(B115,'[1]UT Rate Study HCBS Survey'!$B$6:$FG$139,131,0)=0,"",VLOOKUP(B115,'[1]UT Rate Study HCBS Survey'!$B$6:$FG$139,131,0))</f>
        <v>240000</v>
      </c>
      <c r="K115" s="60">
        <f>IF(VLOOKUP(B115,'[1]UT Rate Study HCBS Survey'!$B$6:$FG$139,134,0)=0,"",VLOOKUP(B115,'[1]UT Rate Study HCBS Survey'!$B$6:$FG$139,134,0))</f>
        <v>5125.6400000000003</v>
      </c>
      <c r="L115" s="60">
        <f>IF(VLOOKUP(B115,'[1]UT Rate Study HCBS Survey'!$B$6:$FG$139,135,0)=0,"",VLOOKUP(B115,'[1]UT Rate Study HCBS Survey'!$B$6:$FG$139,135,0))</f>
        <v>85000</v>
      </c>
      <c r="M115" s="37">
        <f t="shared" si="9"/>
        <v>0.44356775069241783</v>
      </c>
      <c r="N115" s="60">
        <f>IF(VLOOKUP(B115,'[1]UT Rate Study HCBS Survey'!$B$6:$FG$139,138,0)=0,"",VLOOKUP(B115,'[1]UT Rate Study HCBS Survey'!$B$6:$FG$139,138,0))</f>
        <v>1026468.6</v>
      </c>
      <c r="O115" s="60">
        <f>IF(VLOOKUP(B115,'[1]UT Rate Study HCBS Survey'!$B$6:$FG$139,141,0)=0,"",VLOOKUP(B115,'[1]UT Rate Study HCBS Survey'!$B$6:$FG$139,141,0))</f>
        <v>283960</v>
      </c>
      <c r="P115" s="37">
        <f t="shared" si="10"/>
        <v>0.27663778512075282</v>
      </c>
      <c r="Q115" s="36">
        <f t="shared" si="14"/>
        <v>44.557285450552214</v>
      </c>
      <c r="R115" s="9"/>
    </row>
    <row r="116" spans="1:18" x14ac:dyDescent="0.25">
      <c r="A116" s="43" t="s">
        <v>365</v>
      </c>
      <c r="B116" s="43" t="s">
        <v>200</v>
      </c>
      <c r="C116" s="60">
        <f>IF(VLOOKUP(B116,'[1]UT Rate Study HCBS Survey'!$B$6:$FG$139,129,0)=0,"",VLOOKUP(B116,'[1]UT Rate Study HCBS Survey'!$B$6:$FG$139,129,0))</f>
        <v>246331</v>
      </c>
      <c r="D116" s="61">
        <f>IF(VLOOKUP(B116,'[1]UT Rate Study HCBS Survey'!$B$6:$FG$139,130,0)=0,"",VLOOKUP(B116,'[1]UT Rate Study HCBS Survey'!$B$6:$FG$139,130,0))</f>
        <v>70734</v>
      </c>
      <c r="E116" s="36">
        <f t="shared" si="7"/>
        <v>3.4824978086917184</v>
      </c>
      <c r="F116" s="60">
        <f>IF(VLOOKUP(B116,'[1]UT Rate Study HCBS Survey'!$B$6:$FG$139,140,0)=0,"",VLOOKUP(B116,'[1]UT Rate Study HCBS Survey'!$B$6:$FG$139,140,0))</f>
        <v>19127</v>
      </c>
      <c r="G116" s="60">
        <f>IF(VLOOKUP(B116,'[1]UT Rate Study HCBS Survey'!$B$6:$FG$139,139,0)=0,"",VLOOKUP(B116,'[1]UT Rate Study HCBS Survey'!$B$6:$FG$139,139,0))</f>
        <v>246331</v>
      </c>
      <c r="H116" s="37">
        <f t="shared" si="8"/>
        <v>7.7647555524883186E-2</v>
      </c>
      <c r="I116" s="60">
        <f>IF(VLOOKUP(B116,'[1]UT Rate Study HCBS Survey'!$B$6:$FG$139,133,0)=0,"",VLOOKUP(B116,'[1]UT Rate Study HCBS Survey'!$B$6:$FG$139,133,0))</f>
        <v>11421</v>
      </c>
      <c r="J116" s="60">
        <f>IF(VLOOKUP(B116,'[1]UT Rate Study HCBS Survey'!$B$6:$FG$139,131,0)=0,"",VLOOKUP(B116,'[1]UT Rate Study HCBS Survey'!$B$6:$FG$139,131,0))</f>
        <v>6000</v>
      </c>
      <c r="K116" s="60" t="str">
        <f>IF(VLOOKUP(B116,'[1]UT Rate Study HCBS Survey'!$B$6:$FG$139,134,0)=0,"",VLOOKUP(B116,'[1]UT Rate Study HCBS Survey'!$B$6:$FG$139,134,0))</f>
        <v/>
      </c>
      <c r="L116" s="60" t="str">
        <f>IF(VLOOKUP(B116,'[1]UT Rate Study HCBS Survey'!$B$6:$FG$139,135,0)=0,"",VLOOKUP(B116,'[1]UT Rate Study HCBS Survey'!$B$6:$FG$139,135,0))</f>
        <v/>
      </c>
      <c r="M116" s="37">
        <f t="shared" si="9"/>
        <v>2.3278189887954312E-2</v>
      </c>
      <c r="N116" s="60">
        <f>IF(VLOOKUP(B116,'[1]UT Rate Study HCBS Survey'!$B$6:$FG$139,138,0)=0,"",VLOOKUP(B116,'[1]UT Rate Study HCBS Survey'!$B$6:$FG$139,138,0))</f>
        <v>573262</v>
      </c>
      <c r="O116" s="60">
        <f>IF(VLOOKUP(B116,'[1]UT Rate Study HCBS Survey'!$B$6:$FG$139,141,0)=0,"",VLOOKUP(B116,'[1]UT Rate Study HCBS Survey'!$B$6:$FG$139,141,0))</f>
        <v>11959</v>
      </c>
      <c r="P116" s="37">
        <f t="shared" si="10"/>
        <v>2.0861316466118458E-2</v>
      </c>
      <c r="Q116" s="36">
        <f t="shared" si="14"/>
        <v>3.9156572612319174</v>
      </c>
      <c r="R116" s="9" t="s">
        <v>486</v>
      </c>
    </row>
    <row r="117" spans="1:18" x14ac:dyDescent="0.25">
      <c r="A117" s="43" t="s">
        <v>365</v>
      </c>
      <c r="B117" s="43" t="s">
        <v>201</v>
      </c>
      <c r="C117" s="60">
        <f>IF(VLOOKUP(B117,'[1]UT Rate Study HCBS Survey'!$B$6:$FG$139,129,0)=0,"",VLOOKUP(B117,'[1]UT Rate Study HCBS Survey'!$B$6:$FG$139,129,0))</f>
        <v>267673</v>
      </c>
      <c r="D117" s="61">
        <f>IF(VLOOKUP(B117,'[1]UT Rate Study HCBS Survey'!$B$6:$FG$139,130,0)=0,"",VLOOKUP(B117,'[1]UT Rate Study HCBS Survey'!$B$6:$FG$139,130,0))</f>
        <v>13506</v>
      </c>
      <c r="E117" s="36">
        <f t="shared" si="7"/>
        <v>19.818821264623132</v>
      </c>
      <c r="F117" s="60">
        <f>IF(VLOOKUP(B117,'[1]UT Rate Study HCBS Survey'!$B$6:$FG$139,140,0)=0,"",VLOOKUP(B117,'[1]UT Rate Study HCBS Survey'!$B$6:$FG$139,140,0))</f>
        <v>24647</v>
      </c>
      <c r="G117" s="60">
        <f>IF(VLOOKUP(B117,'[1]UT Rate Study HCBS Survey'!$B$6:$FG$139,139,0)=0,"",VLOOKUP(B117,'[1]UT Rate Study HCBS Survey'!$B$6:$FG$139,139,0))</f>
        <v>322320</v>
      </c>
      <c r="H117" s="37">
        <f t="shared" si="8"/>
        <v>7.6467485728468607E-2</v>
      </c>
      <c r="I117" s="60" t="str">
        <f>IF(VLOOKUP(B117,'[1]UT Rate Study HCBS Survey'!$B$6:$FG$139,133,0)=0,"",VLOOKUP(B117,'[1]UT Rate Study HCBS Survey'!$B$6:$FG$139,133,0))</f>
        <v/>
      </c>
      <c r="J117" s="60">
        <f>IF(VLOOKUP(B117,'[1]UT Rate Study HCBS Survey'!$B$6:$FG$139,131,0)=0,"",VLOOKUP(B117,'[1]UT Rate Study HCBS Survey'!$B$6:$FG$139,131,0))</f>
        <v>30000</v>
      </c>
      <c r="K117" s="60" t="str">
        <f>IF(VLOOKUP(B117,'[1]UT Rate Study HCBS Survey'!$B$6:$FG$139,134,0)=0,"",VLOOKUP(B117,'[1]UT Rate Study HCBS Survey'!$B$6:$FG$139,134,0))</f>
        <v/>
      </c>
      <c r="L117" s="60" t="str">
        <f>IF(VLOOKUP(B117,'[1]UT Rate Study HCBS Survey'!$B$6:$FG$139,135,0)=0,"",VLOOKUP(B117,'[1]UT Rate Study HCBS Survey'!$B$6:$FG$139,135,0))</f>
        <v/>
      </c>
      <c r="M117" s="37">
        <f t="shared" si="9"/>
        <v>0.11207704923544773</v>
      </c>
      <c r="N117" s="60">
        <f>IF(VLOOKUP(B117,'[1]UT Rate Study HCBS Survey'!$B$6:$FG$139,138,0)=0,"",VLOOKUP(B117,'[1]UT Rate Study HCBS Survey'!$B$6:$FG$139,138,0))</f>
        <v>521650</v>
      </c>
      <c r="O117" s="60" t="str">
        <f>IF(VLOOKUP(B117,'[1]UT Rate Study HCBS Survey'!$B$6:$FG$139,141,0)=0,"",VLOOKUP(B117,'[1]UT Rate Study HCBS Survey'!$B$6:$FG$139,141,0))</f>
        <v/>
      </c>
      <c r="P117" s="37" t="str">
        <f t="shared" si="10"/>
        <v/>
      </c>
      <c r="Q117" s="36">
        <f t="shared" si="12"/>
        <v>23.555551703494476</v>
      </c>
      <c r="R117" s="9"/>
    </row>
    <row r="118" spans="1:18" x14ac:dyDescent="0.25">
      <c r="A118" s="43" t="s">
        <v>365</v>
      </c>
      <c r="B118" s="43" t="s">
        <v>202</v>
      </c>
      <c r="C118" s="60">
        <f>IF(VLOOKUP(B118,'[1]UT Rate Study HCBS Survey'!$B$6:$FG$139,129,0)=0,"",VLOOKUP(B118,'[1]UT Rate Study HCBS Survey'!$B$6:$FG$139,129,0))</f>
        <v>3255783</v>
      </c>
      <c r="D118" s="61">
        <f>IF(VLOOKUP(B118,'[1]UT Rate Study HCBS Survey'!$B$6:$FG$139,130,0)=0,"",VLOOKUP(B118,'[1]UT Rate Study HCBS Survey'!$B$6:$FG$139,130,0))</f>
        <v>251578.04</v>
      </c>
      <c r="E118" s="36">
        <f t="shared" si="7"/>
        <v>12.941443537758701</v>
      </c>
      <c r="F118" s="60">
        <f>IF(VLOOKUP(B118,'[1]UT Rate Study HCBS Survey'!$B$6:$FG$139,140,0)=0,"",VLOOKUP(B118,'[1]UT Rate Study HCBS Survey'!$B$6:$FG$139,140,0))</f>
        <v>1446398.01</v>
      </c>
      <c r="G118" s="60">
        <f>IF(VLOOKUP(B118,'[1]UT Rate Study HCBS Survey'!$B$6:$FG$139,139,0)=0,"",VLOOKUP(B118,'[1]UT Rate Study HCBS Survey'!$B$6:$FG$139,139,0))</f>
        <v>8132040.3399999999</v>
      </c>
      <c r="H118" s="37">
        <f t="shared" si="8"/>
        <v>0.1778640967735288</v>
      </c>
      <c r="I118" s="60" t="str">
        <f>IF(VLOOKUP(B118,'[1]UT Rate Study HCBS Survey'!$B$6:$FG$139,133,0)=0,"",VLOOKUP(B118,'[1]UT Rate Study HCBS Survey'!$B$6:$FG$139,133,0))</f>
        <v/>
      </c>
      <c r="J118" s="60">
        <f>IF(VLOOKUP(B118,'[1]UT Rate Study HCBS Survey'!$B$6:$FG$139,131,0)=0,"",VLOOKUP(B118,'[1]UT Rate Study HCBS Survey'!$B$6:$FG$139,131,0))</f>
        <v>431167.22</v>
      </c>
      <c r="K118" s="60">
        <f>IF(VLOOKUP(B118,'[1]UT Rate Study HCBS Survey'!$B$6:$FG$139,134,0)=0,"",VLOOKUP(B118,'[1]UT Rate Study HCBS Survey'!$B$6:$FG$139,134,0))</f>
        <v>240777.17</v>
      </c>
      <c r="L118" s="60">
        <f>IF(VLOOKUP(B118,'[1]UT Rate Study HCBS Survey'!$B$6:$FG$139,135,0)=0,"",VLOOKUP(B118,'[1]UT Rate Study HCBS Survey'!$B$6:$FG$139,135,0))</f>
        <v>4938082.63</v>
      </c>
      <c r="M118" s="37">
        <f t="shared" si="9"/>
        <v>1.7230961092922961</v>
      </c>
      <c r="N118" s="60">
        <f>IF(VLOOKUP(B118,'[1]UT Rate Study HCBS Survey'!$B$6:$FG$139,138,0)=0,"",VLOOKUP(B118,'[1]UT Rate Study HCBS Survey'!$B$6:$FG$139,138,0))</f>
        <v>19512251.109999999</v>
      </c>
      <c r="O118" s="60">
        <f>IF(VLOOKUP(B118,'[1]UT Rate Study HCBS Survey'!$B$6:$FG$139,141,0)=0,"",VLOOKUP(B118,'[1]UT Rate Study HCBS Survey'!$B$6:$FG$139,141,0))</f>
        <v>2309532.41</v>
      </c>
      <c r="P118" s="37">
        <f t="shared" si="10"/>
        <v>0.11836319638262385</v>
      </c>
      <c r="Q118" s="36">
        <f t="shared" si="14"/>
        <v>42.582855613612672</v>
      </c>
      <c r="R118" s="9"/>
    </row>
    <row r="119" spans="1:18" x14ac:dyDescent="0.25">
      <c r="A119" s="43" t="s">
        <v>365</v>
      </c>
      <c r="B119" s="43" t="s">
        <v>203</v>
      </c>
      <c r="C119" s="60">
        <f>IF(VLOOKUP(B119,'[1]UT Rate Study HCBS Survey'!$B$6:$FG$139,129,0)=0,"",VLOOKUP(B119,'[1]UT Rate Study HCBS Survey'!$B$6:$FG$139,129,0))</f>
        <v>21802</v>
      </c>
      <c r="D119" s="61">
        <f>IF(VLOOKUP(B119,'[1]UT Rate Study HCBS Survey'!$B$6:$FG$139,130,0)=0,"",VLOOKUP(B119,'[1]UT Rate Study HCBS Survey'!$B$6:$FG$139,130,0))</f>
        <v>688</v>
      </c>
      <c r="E119" s="36">
        <f t="shared" si="7"/>
        <v>31.688953488372093</v>
      </c>
      <c r="F119" s="60">
        <f>IF(VLOOKUP(B119,'[1]UT Rate Study HCBS Survey'!$B$6:$FG$139,140,0)=0,"",VLOOKUP(B119,'[1]UT Rate Study HCBS Survey'!$B$6:$FG$139,140,0))</f>
        <v>16227</v>
      </c>
      <c r="G119" s="60">
        <f>IF(VLOOKUP(B119,'[1]UT Rate Study HCBS Survey'!$B$6:$FG$139,139,0)=0,"",VLOOKUP(B119,'[1]UT Rate Study HCBS Survey'!$B$6:$FG$139,139,0))</f>
        <v>49381</v>
      </c>
      <c r="H119" s="37">
        <f t="shared" si="8"/>
        <v>0.32860816913387741</v>
      </c>
      <c r="I119" s="60">
        <f>IF(VLOOKUP(B119,'[1]UT Rate Study HCBS Survey'!$B$6:$FG$139,133,0)=0,"",VLOOKUP(B119,'[1]UT Rate Study HCBS Survey'!$B$6:$FG$139,133,0))</f>
        <v>218</v>
      </c>
      <c r="J119" s="60">
        <f>IF(VLOOKUP(B119,'[1]UT Rate Study HCBS Survey'!$B$6:$FG$139,131,0)=0,"",VLOOKUP(B119,'[1]UT Rate Study HCBS Survey'!$B$6:$FG$139,131,0))</f>
        <v>11181</v>
      </c>
      <c r="K119" s="60">
        <f>IF(VLOOKUP(B119,'[1]UT Rate Study HCBS Survey'!$B$6:$FG$139,134,0)=0,"",VLOOKUP(B119,'[1]UT Rate Study HCBS Survey'!$B$6:$FG$139,134,0))</f>
        <v>261</v>
      </c>
      <c r="L119" s="60" t="str">
        <f>IF(VLOOKUP(B119,'[1]UT Rate Study HCBS Survey'!$B$6:$FG$139,135,0)=0,"",VLOOKUP(B119,'[1]UT Rate Study HCBS Survey'!$B$6:$FG$139,135,0))</f>
        <v/>
      </c>
      <c r="M119" s="37">
        <f t="shared" si="9"/>
        <v>0.51961852861035418</v>
      </c>
      <c r="N119" s="60">
        <f>IF(VLOOKUP(B119,'[1]UT Rate Study HCBS Survey'!$B$6:$FG$139,138,0)=0,"",VLOOKUP(B119,'[1]UT Rate Study HCBS Survey'!$B$6:$FG$139,138,0))</f>
        <v>32994</v>
      </c>
      <c r="O119" s="60">
        <f>IF(VLOOKUP(B119,'[1]UT Rate Study HCBS Survey'!$B$6:$FG$139,141,0)=0,"",VLOOKUP(B119,'[1]UT Rate Study HCBS Survey'!$B$6:$FG$139,141,0))</f>
        <v>6879</v>
      </c>
      <c r="P119" s="37">
        <f t="shared" si="10"/>
        <v>0.20849245317330423</v>
      </c>
      <c r="Q119" s="36">
        <f t="shared" si="14"/>
        <v>73.99597147948397</v>
      </c>
      <c r="R119" s="9"/>
    </row>
    <row r="120" spans="1:18" x14ac:dyDescent="0.25">
      <c r="A120" s="43" t="s">
        <v>365</v>
      </c>
      <c r="B120" s="43" t="s">
        <v>204</v>
      </c>
      <c r="C120" s="60">
        <v>317441</v>
      </c>
      <c r="D120" s="61">
        <f>IF(VLOOKUP(B120,'[1]UT Rate Study HCBS Survey'!$B$6:$FG$139,130,0)=0,"",VLOOKUP(B120,'[1]UT Rate Study HCBS Survey'!$B$6:$FG$139,130,0))</f>
        <v>20659</v>
      </c>
      <c r="E120" s="36">
        <f t="shared" si="7"/>
        <v>15.365748584152186</v>
      </c>
      <c r="F120" s="60" t="str">
        <f>IF(VLOOKUP(B120,'[1]UT Rate Study HCBS Survey'!$B$6:$FG$139,140,0)=0,"",VLOOKUP(B120,'[1]UT Rate Study HCBS Survey'!$B$6:$FG$139,140,0))</f>
        <v/>
      </c>
      <c r="G120" s="60">
        <f>IF(VLOOKUP(B120,'[1]UT Rate Study HCBS Survey'!$B$6:$FG$139,139,0)=0,"",VLOOKUP(B120,'[1]UT Rate Study HCBS Survey'!$B$6:$FG$139,139,0))</f>
        <v>397444</v>
      </c>
      <c r="H120" s="37" t="str">
        <f t="shared" si="8"/>
        <v/>
      </c>
      <c r="I120" s="60">
        <f>IF(VLOOKUP(B120,'[1]UT Rate Study HCBS Survey'!$B$6:$FG$139,133,0)=0,"",VLOOKUP(B120,'[1]UT Rate Study HCBS Survey'!$B$6:$FG$139,133,0))</f>
        <v>317441</v>
      </c>
      <c r="J120" s="60">
        <f>IF(VLOOKUP(B120,'[1]UT Rate Study HCBS Survey'!$B$6:$FG$139,131,0)=0,"",VLOOKUP(B120,'[1]UT Rate Study HCBS Survey'!$B$6:$FG$139,131,0))</f>
        <v>120000</v>
      </c>
      <c r="K120" s="60">
        <f>IF(VLOOKUP(B120,'[1]UT Rate Study HCBS Survey'!$B$6:$FG$139,134,0)=0,"",VLOOKUP(B120,'[1]UT Rate Study HCBS Survey'!$B$6:$FG$139,134,0))</f>
        <v>4704</v>
      </c>
      <c r="L120" s="60">
        <f>IF(VLOOKUP(B120,'[1]UT Rate Study HCBS Survey'!$B$6:$FG$139,135,0)=0,"",VLOOKUP(B120,'[1]UT Rate Study HCBS Survey'!$B$6:$FG$139,135,0))</f>
        <v>5360</v>
      </c>
      <c r="M120" s="37">
        <f t="shared" si="9"/>
        <v>0.20486326592973184</v>
      </c>
      <c r="N120" s="60">
        <f>IF(VLOOKUP(B120,'[1]UT Rate Study HCBS Survey'!$B$6:$FG$139,138,0)=0,"",VLOOKUP(B120,'[1]UT Rate Study HCBS Survey'!$B$6:$FG$139,138,0))</f>
        <v>561181</v>
      </c>
      <c r="O120" s="60">
        <f>IF(VLOOKUP(B120,'[1]UT Rate Study HCBS Survey'!$B$6:$FG$139,141,0)=0,"",VLOOKUP(B120,'[1]UT Rate Study HCBS Survey'!$B$6:$FG$139,141,0))</f>
        <v>523831</v>
      </c>
      <c r="P120" s="37">
        <f t="shared" si="10"/>
        <v>0.93344393341898602</v>
      </c>
      <c r="Q120" s="36">
        <f>IFERROR((E120+(E120*M120))/(1-P120),"")</f>
        <v>278.16586787053336</v>
      </c>
      <c r="R120" s="9" t="s">
        <v>481</v>
      </c>
    </row>
    <row r="121" spans="1:18" x14ac:dyDescent="0.25">
      <c r="A121" s="43" t="s">
        <v>365</v>
      </c>
      <c r="B121" s="43" t="s">
        <v>205</v>
      </c>
      <c r="C121" s="60">
        <f>IF(VLOOKUP(B121,'[1]UT Rate Study HCBS Survey'!$B$6:$FG$139,129,0)=0,"",VLOOKUP(B121,'[1]UT Rate Study HCBS Survey'!$B$6:$FG$139,129,0))</f>
        <v>234505</v>
      </c>
      <c r="D121" s="61">
        <f>IF(VLOOKUP(B121,'[1]UT Rate Study HCBS Survey'!$B$6:$FG$139,130,0)=0,"",VLOOKUP(B121,'[1]UT Rate Study HCBS Survey'!$B$6:$FG$139,130,0))</f>
        <v>13659</v>
      </c>
      <c r="E121" s="36">
        <f t="shared" ref="E121:E124" si="15">IF(IFERROR(C121/D121,0)=0,"",IFERROR(C121/D121,0))</f>
        <v>17.168533567611099</v>
      </c>
      <c r="F121" s="60" t="str">
        <f>IF(VLOOKUP(B121,'[1]UT Rate Study HCBS Survey'!$B$6:$FG$139,140,0)=0,"",VLOOKUP(B121,'[1]UT Rate Study HCBS Survey'!$B$6:$FG$139,140,0))</f>
        <v/>
      </c>
      <c r="G121" s="60">
        <f>IF(VLOOKUP(B121,'[1]UT Rate Study HCBS Survey'!$B$6:$FG$139,139,0)=0,"",VLOOKUP(B121,'[1]UT Rate Study HCBS Survey'!$B$6:$FG$139,139,0))</f>
        <v>450666</v>
      </c>
      <c r="H121" s="37" t="str">
        <f t="shared" ref="H121:H124" si="16">IF(IFERROR(F121/G121,0)=0,"",IFERROR(F121/G121,0))</f>
        <v/>
      </c>
      <c r="I121" s="60">
        <f>IF(VLOOKUP(B121,'[1]UT Rate Study HCBS Survey'!$B$6:$FG$139,133,0)=0,"",VLOOKUP(B121,'[1]UT Rate Study HCBS Survey'!$B$6:$FG$139,133,0))</f>
        <v>22800</v>
      </c>
      <c r="J121" s="60">
        <f>IF(VLOOKUP(B121,'[1]UT Rate Study HCBS Survey'!$B$6:$FG$139,131,0)=0,"",VLOOKUP(B121,'[1]UT Rate Study HCBS Survey'!$B$6:$FG$139,131,0))</f>
        <v>108001</v>
      </c>
      <c r="K121" s="60" t="str">
        <f>IF(VLOOKUP(B121,'[1]UT Rate Study HCBS Survey'!$B$6:$FG$139,134,0)=0,"",VLOOKUP(B121,'[1]UT Rate Study HCBS Survey'!$B$6:$FG$139,134,0))</f>
        <v/>
      </c>
      <c r="L121" s="60">
        <f>IF(VLOOKUP(B121,'[1]UT Rate Study HCBS Survey'!$B$6:$FG$139,135,0)=0,"",VLOOKUP(B121,'[1]UT Rate Study HCBS Survey'!$B$6:$FG$139,135,0))</f>
        <v>446812</v>
      </c>
      <c r="M121" s="37">
        <f t="shared" ref="M121:M124" si="17">IF(IFERROR(SUM(J121:L121)/SUM(C121,I121),0)=0,"",IFERROR(SUM(J121:L121)/SUM(C121,I121),0))</f>
        <v>2.1562464779153143</v>
      </c>
      <c r="N121" s="60">
        <f>IF(VLOOKUP(B121,'[1]UT Rate Study HCBS Survey'!$B$6:$FG$139,138,0)=0,"",VLOOKUP(B121,'[1]UT Rate Study HCBS Survey'!$B$6:$FG$139,138,0))</f>
        <v>1080052</v>
      </c>
      <c r="O121" s="60">
        <f>IF(VLOOKUP(B121,'[1]UT Rate Study HCBS Survey'!$B$6:$FG$139,141,0)=0,"",VLOOKUP(B121,'[1]UT Rate Study HCBS Survey'!$B$6:$FG$139,141,0))</f>
        <v>701537</v>
      </c>
      <c r="P121" s="37">
        <f t="shared" ref="P121:P124" si="18">IF(IFERROR(O121/N121,0)=0,"",IFERROR(O121/N121,0))</f>
        <v>0.64954002214708184</v>
      </c>
      <c r="Q121" s="36">
        <f>IFERROR((E121+(E121*M121))/(1-P121),"")</f>
        <v>154.62000521635932</v>
      </c>
      <c r="R121" s="9"/>
    </row>
    <row r="122" spans="1:18" x14ac:dyDescent="0.25">
      <c r="A122" s="43" t="s">
        <v>365</v>
      </c>
      <c r="B122" s="43" t="s">
        <v>206</v>
      </c>
      <c r="C122" s="60">
        <f>IF(VLOOKUP(B122,'[1]UT Rate Study HCBS Survey'!$B$6:$FG$139,129,0)=0,"",VLOOKUP(B122,'[1]UT Rate Study HCBS Survey'!$B$6:$FG$139,129,0))</f>
        <v>48000</v>
      </c>
      <c r="D122" s="61">
        <f>IF(VLOOKUP(B122,'[1]UT Rate Study HCBS Survey'!$B$6:$FG$139,130,0)=0,"",VLOOKUP(B122,'[1]UT Rate Study HCBS Survey'!$B$6:$FG$139,130,0))</f>
        <v>1800</v>
      </c>
      <c r="E122" s="36">
        <f t="shared" si="15"/>
        <v>26.666666666666668</v>
      </c>
      <c r="F122" s="60" t="str">
        <f>IF(VLOOKUP(B122,'[1]UT Rate Study HCBS Survey'!$B$6:$FG$139,140,0)=0,"",VLOOKUP(B122,'[1]UT Rate Study HCBS Survey'!$B$6:$FG$139,140,0))</f>
        <v/>
      </c>
      <c r="G122" s="60">
        <f>IF(VLOOKUP(B122,'[1]UT Rate Study HCBS Survey'!$B$6:$FG$139,139,0)=0,"",VLOOKUP(B122,'[1]UT Rate Study HCBS Survey'!$B$6:$FG$139,139,0))</f>
        <v>78000</v>
      </c>
      <c r="H122" s="37" t="str">
        <f t="shared" si="16"/>
        <v/>
      </c>
      <c r="I122" s="60">
        <f>IF(VLOOKUP(B122,'[1]UT Rate Study HCBS Survey'!$B$6:$FG$139,133,0)=0,"",VLOOKUP(B122,'[1]UT Rate Study HCBS Survey'!$B$6:$FG$139,133,0))</f>
        <v>68000</v>
      </c>
      <c r="J122" s="60">
        <f>IF(VLOOKUP(B122,'[1]UT Rate Study HCBS Survey'!$B$6:$FG$139,131,0)=0,"",VLOOKUP(B122,'[1]UT Rate Study HCBS Survey'!$B$6:$FG$139,131,0))</f>
        <v>30000</v>
      </c>
      <c r="K122" s="60" t="str">
        <f>IF(VLOOKUP(B122,'[1]UT Rate Study HCBS Survey'!$B$6:$FG$139,134,0)=0,"",VLOOKUP(B122,'[1]UT Rate Study HCBS Survey'!$B$6:$FG$139,134,0))</f>
        <v/>
      </c>
      <c r="L122" s="60">
        <f>IF(VLOOKUP(B122,'[1]UT Rate Study HCBS Survey'!$B$6:$FG$139,135,0)=0,"",VLOOKUP(B122,'[1]UT Rate Study HCBS Survey'!$B$6:$FG$139,135,0))</f>
        <v>4100</v>
      </c>
      <c r="M122" s="37">
        <f t="shared" si="17"/>
        <v>0.29396551724137931</v>
      </c>
      <c r="N122" s="60">
        <f>IF(VLOOKUP(B122,'[1]UT Rate Study HCBS Survey'!$B$6:$FG$139,138,0)=0,"",VLOOKUP(B122,'[1]UT Rate Study HCBS Survey'!$B$6:$FG$139,138,0))</f>
        <v>97951.43</v>
      </c>
      <c r="O122" s="60">
        <f>IF(VLOOKUP(B122,'[1]UT Rate Study HCBS Survey'!$B$6:$FG$139,141,0)=0,"",VLOOKUP(B122,'[1]UT Rate Study HCBS Survey'!$B$6:$FG$139,141,0))</f>
        <v>19951.43</v>
      </c>
      <c r="P122" s="37">
        <f t="shared" si="18"/>
        <v>0.20368697016470308</v>
      </c>
      <c r="Q122" s="36">
        <f>IFERROR((E122+(E122*M122))/(1-P122),"")</f>
        <v>43.331888131447094</v>
      </c>
      <c r="R122" s="9"/>
    </row>
    <row r="123" spans="1:18" x14ac:dyDescent="0.25">
      <c r="A123" s="43" t="s">
        <v>365</v>
      </c>
      <c r="B123" s="43" t="s">
        <v>207</v>
      </c>
      <c r="C123" s="60">
        <f>IF(VLOOKUP(B123,'[1]UT Rate Study HCBS Survey'!$B$6:$FG$139,129,0)=0,"",VLOOKUP(B123,'[1]UT Rate Study HCBS Survey'!$B$6:$FG$139,129,0))</f>
        <v>70080</v>
      </c>
      <c r="D123" s="61">
        <f>IF(VLOOKUP(B123,'[1]UT Rate Study HCBS Survey'!$B$6:$FG$139,130,0)=0,"",VLOOKUP(B123,'[1]UT Rate Study HCBS Survey'!$B$6:$FG$139,130,0))</f>
        <v>4644</v>
      </c>
      <c r="E123" s="36">
        <f t="shared" si="15"/>
        <v>15.090439276485789</v>
      </c>
      <c r="F123" s="60">
        <f>IF(VLOOKUP(B123,'[1]UT Rate Study HCBS Survey'!$B$6:$FG$139,140,0)=0,"",VLOOKUP(B123,'[1]UT Rate Study HCBS Survey'!$B$6:$FG$139,140,0))</f>
        <v>12354</v>
      </c>
      <c r="G123" s="60">
        <f>IF(VLOOKUP(B123,'[1]UT Rate Study HCBS Survey'!$B$6:$FG$139,139,0)=0,"",VLOOKUP(B123,'[1]UT Rate Study HCBS Survey'!$B$6:$FG$139,139,0))</f>
        <v>150484</v>
      </c>
      <c r="H123" s="37">
        <f t="shared" si="16"/>
        <v>8.2095106456500352E-2</v>
      </c>
      <c r="I123" s="60">
        <f>IF(VLOOKUP(B123,'[1]UT Rate Study HCBS Survey'!$B$6:$FG$139,133,0)=0,"",VLOOKUP(B123,'[1]UT Rate Study HCBS Survey'!$B$6:$FG$139,133,0))</f>
        <v>2400</v>
      </c>
      <c r="J123" s="60">
        <f>IF(VLOOKUP(B123,'[1]UT Rate Study HCBS Survey'!$B$6:$FG$139,131,0)=0,"",VLOOKUP(B123,'[1]UT Rate Study HCBS Survey'!$B$6:$FG$139,131,0))</f>
        <v>80404</v>
      </c>
      <c r="K123" s="60" t="str">
        <f>IF(VLOOKUP(B123,'[1]UT Rate Study HCBS Survey'!$B$6:$FG$139,134,0)=0,"",VLOOKUP(B123,'[1]UT Rate Study HCBS Survey'!$B$6:$FG$139,134,0))</f>
        <v/>
      </c>
      <c r="L123" s="60">
        <f>IF(VLOOKUP(B123,'[1]UT Rate Study HCBS Survey'!$B$6:$FG$139,135,0)=0,"",VLOOKUP(B123,'[1]UT Rate Study HCBS Survey'!$B$6:$FG$139,135,0))</f>
        <v>1200</v>
      </c>
      <c r="M123" s="37">
        <f t="shared" si="17"/>
        <v>1.1258830022075055</v>
      </c>
      <c r="N123" s="60">
        <f>IF(VLOOKUP(B123,'[1]UT Rate Study HCBS Survey'!$B$6:$FG$139,138,0)=0,"",VLOOKUP(B123,'[1]UT Rate Study HCBS Survey'!$B$6:$FG$139,138,0))</f>
        <v>362649</v>
      </c>
      <c r="O123" s="60">
        <f>IF(VLOOKUP(B123,'[1]UT Rate Study HCBS Survey'!$B$6:$FG$139,141,0)=0,"",VLOOKUP(B123,'[1]UT Rate Study HCBS Survey'!$B$6:$FG$139,141,0))</f>
        <v>42502</v>
      </c>
      <c r="P123" s="37">
        <f t="shared" si="18"/>
        <v>0.11719872383489269</v>
      </c>
      <c r="Q123" s="36">
        <f t="shared" si="14"/>
        <v>37.742763260768683</v>
      </c>
      <c r="R123" s="9"/>
    </row>
    <row r="124" spans="1:18" x14ac:dyDescent="0.25">
      <c r="A124" s="43" t="s">
        <v>365</v>
      </c>
      <c r="B124" s="43" t="s">
        <v>208</v>
      </c>
      <c r="C124" s="60">
        <f>IF(VLOOKUP(B124,'[1]UT Rate Study HCBS Survey'!$B$6:$FG$139,129,0)=0,"",VLOOKUP(B124,'[1]UT Rate Study HCBS Survey'!$B$6:$FG$139,129,0))</f>
        <v>90861</v>
      </c>
      <c r="D124" s="61">
        <f>IF(VLOOKUP(B124,'[1]UT Rate Study HCBS Survey'!$B$6:$FG$139,130,0)=0,"",VLOOKUP(B124,'[1]UT Rate Study HCBS Survey'!$B$6:$FG$139,130,0))</f>
        <v>6400</v>
      </c>
      <c r="E124" s="36">
        <f t="shared" si="15"/>
        <v>14.19703125</v>
      </c>
      <c r="F124" s="60">
        <f>IF(VLOOKUP(B124,'[1]UT Rate Study HCBS Survey'!$B$6:$FG$139,140,0)=0,"",VLOOKUP(B124,'[1]UT Rate Study HCBS Survey'!$B$6:$FG$139,140,0))</f>
        <v>13963</v>
      </c>
      <c r="G124" s="60">
        <f>IF(VLOOKUP(B124,'[1]UT Rate Study HCBS Survey'!$B$6:$FG$139,139,0)=0,"",VLOOKUP(B124,'[1]UT Rate Study HCBS Survey'!$B$6:$FG$139,139,0))</f>
        <v>170381</v>
      </c>
      <c r="H124" s="37">
        <f t="shared" si="16"/>
        <v>8.1951626061591371E-2</v>
      </c>
      <c r="I124" s="60">
        <f>IF(VLOOKUP(B124,'[1]UT Rate Study HCBS Survey'!$B$6:$FG$139,133,0)=0,"",VLOOKUP(B124,'[1]UT Rate Study HCBS Survey'!$B$6:$FG$139,133,0))</f>
        <v>2400</v>
      </c>
      <c r="J124" s="60">
        <f>IF(VLOOKUP(B124,'[1]UT Rate Study HCBS Survey'!$B$6:$FG$139,131,0)=0,"",VLOOKUP(B124,'[1]UT Rate Study HCBS Survey'!$B$6:$FG$139,131,0))</f>
        <v>79520</v>
      </c>
      <c r="K124" s="60" t="str">
        <f>IF(VLOOKUP(B124,'[1]UT Rate Study HCBS Survey'!$B$6:$FG$139,134,0)=0,"",VLOOKUP(B124,'[1]UT Rate Study HCBS Survey'!$B$6:$FG$139,134,0))</f>
        <v/>
      </c>
      <c r="L124" s="60">
        <f>IF(VLOOKUP(B124,'[1]UT Rate Study HCBS Survey'!$B$6:$FG$139,135,0)=0,"",VLOOKUP(B124,'[1]UT Rate Study HCBS Survey'!$B$6:$FG$139,135,0))</f>
        <v>1200</v>
      </c>
      <c r="M124" s="37">
        <f t="shared" si="17"/>
        <v>0.86552792700056824</v>
      </c>
      <c r="N124" s="60">
        <f>IF(VLOOKUP(B124,'[1]UT Rate Study HCBS Survey'!$B$6:$FG$139,138,0)=0,"",VLOOKUP(B124,'[1]UT Rate Study HCBS Survey'!$B$6:$FG$139,138,0))</f>
        <v>296712</v>
      </c>
      <c r="O124" s="60">
        <f>IF(VLOOKUP(B124,'[1]UT Rate Study HCBS Survey'!$B$6:$FG$139,141,0)=0,"",VLOOKUP(B124,'[1]UT Rate Study HCBS Survey'!$B$6:$FG$139,141,0))</f>
        <v>34775</v>
      </c>
      <c r="P124" s="37">
        <f t="shared" si="18"/>
        <v>0.11720119172800561</v>
      </c>
      <c r="Q124" s="36">
        <f t="shared" si="14"/>
        <v>31.319059127049599</v>
      </c>
      <c r="R124" s="9"/>
    </row>
    <row r="125" spans="1:18" x14ac:dyDescent="0.25">
      <c r="A125" s="115" t="s">
        <v>42</v>
      </c>
      <c r="B125" s="116"/>
      <c r="C125" s="110"/>
      <c r="D125" s="109"/>
      <c r="E125" s="31">
        <f>AVERAGE(E7:E124)</f>
        <v>21.413505700954122</v>
      </c>
      <c r="F125" s="109"/>
      <c r="G125" s="109"/>
      <c r="H125" s="25">
        <f>AVERAGE(H7:H124)</f>
        <v>0.1496240636660176</v>
      </c>
      <c r="I125" s="109"/>
      <c r="J125" s="109"/>
      <c r="K125" s="109"/>
      <c r="L125" s="109"/>
      <c r="M125" s="25">
        <f>AVERAGE(M7:M124)</f>
        <v>0.56862807007119487</v>
      </c>
      <c r="N125" s="109"/>
      <c r="O125" s="109"/>
      <c r="P125" s="25">
        <f>AVERAGE(P7:P124)</f>
        <v>0.25522991805097733</v>
      </c>
      <c r="Q125" s="109"/>
    </row>
    <row r="126" spans="1:18" x14ac:dyDescent="0.25">
      <c r="A126" s="115" t="s">
        <v>369</v>
      </c>
      <c r="B126" s="116"/>
      <c r="C126" s="110"/>
      <c r="D126" s="110"/>
      <c r="F126" s="110"/>
      <c r="G126" s="110"/>
      <c r="H126" s="70">
        <f>AVERAGEIF(H7:H124,"&lt;.5")</f>
        <v>0.13642665296968531</v>
      </c>
      <c r="M126" s="70">
        <f>AVERAGEIF(M7:M124,"&lt;.5")</f>
        <v>0.19010516950587109</v>
      </c>
      <c r="P126" s="70">
        <f>AVERAGEIF(P7:P124,"&lt;.5")</f>
        <v>0.17183647910687574</v>
      </c>
    </row>
    <row r="127" spans="1:18" x14ac:dyDescent="0.25">
      <c r="A127" s="117"/>
      <c r="B127" s="108"/>
      <c r="C127" s="110"/>
      <c r="D127" s="110"/>
      <c r="F127" s="110"/>
      <c r="G127" s="110"/>
      <c r="H127" s="114"/>
      <c r="M127" s="114"/>
      <c r="P127" s="114"/>
    </row>
    <row r="128" spans="1:18" x14ac:dyDescent="0.25">
      <c r="A128" s="117" t="s">
        <v>487</v>
      </c>
      <c r="B128" s="108"/>
      <c r="C128" s="110"/>
      <c r="D128" s="110"/>
      <c r="F128" s="110"/>
      <c r="G128" s="110"/>
      <c r="H128" s="114"/>
      <c r="M128" s="114"/>
      <c r="P128" s="114"/>
    </row>
    <row r="129" spans="1:19" x14ac:dyDescent="0.25">
      <c r="A129" s="117" t="s">
        <v>480</v>
      </c>
      <c r="B129" s="108"/>
      <c r="C129" s="110"/>
      <c r="D129" s="110"/>
      <c r="F129" s="110"/>
      <c r="G129" s="110"/>
      <c r="H129" s="114"/>
      <c r="M129" s="114"/>
      <c r="P129" s="114"/>
    </row>
    <row r="130" spans="1:19" x14ac:dyDescent="0.25">
      <c r="A130" s="108"/>
      <c r="B130" s="108"/>
      <c r="C130" s="110"/>
      <c r="D130" s="110"/>
      <c r="F130" s="110"/>
      <c r="G130" s="110"/>
      <c r="H130" s="114"/>
      <c r="M130" s="114"/>
      <c r="P130" s="114"/>
    </row>
    <row r="131" spans="1:19" x14ac:dyDescent="0.25">
      <c r="A131" t="s">
        <v>489</v>
      </c>
      <c r="B131" s="108"/>
      <c r="C131" s="110"/>
      <c r="D131" s="110"/>
      <c r="F131" s="110"/>
      <c r="G131" s="110"/>
      <c r="H131" s="114"/>
      <c r="M131" s="114"/>
      <c r="P131" s="114"/>
    </row>
    <row r="132" spans="1:19" x14ac:dyDescent="0.25">
      <c r="A132" s="108"/>
      <c r="B132" s="108"/>
      <c r="C132" s="110"/>
      <c r="D132" s="110"/>
      <c r="F132" s="110"/>
      <c r="G132" s="110"/>
      <c r="H132" s="114"/>
      <c r="M132" s="114"/>
      <c r="P132" s="114"/>
    </row>
    <row r="133" spans="1:19" x14ac:dyDescent="0.25">
      <c r="A133" t="s">
        <v>483</v>
      </c>
      <c r="B133" s="108"/>
      <c r="C133" s="110"/>
      <c r="D133" s="110"/>
      <c r="F133" s="110"/>
      <c r="G133" s="110"/>
      <c r="H133" s="114"/>
      <c r="M133" s="114"/>
      <c r="P133" s="114"/>
    </row>
    <row r="134" spans="1:19" x14ac:dyDescent="0.25">
      <c r="A134" s="108"/>
      <c r="B134" s="108"/>
      <c r="C134" s="110"/>
      <c r="D134" s="110"/>
      <c r="F134" s="110"/>
      <c r="G134" s="110"/>
      <c r="H134" s="114"/>
      <c r="M134" s="114"/>
      <c r="P134" s="114"/>
    </row>
    <row r="135" spans="1:19" x14ac:dyDescent="0.25">
      <c r="A135" t="s">
        <v>484</v>
      </c>
      <c r="B135" s="108"/>
      <c r="C135" s="110"/>
    </row>
    <row r="136" spans="1:19" x14ac:dyDescent="0.25">
      <c r="B136" s="108"/>
      <c r="C136" s="110"/>
    </row>
    <row r="137" spans="1:19" x14ac:dyDescent="0.25">
      <c r="A137" t="s">
        <v>485</v>
      </c>
      <c r="B137" s="108"/>
      <c r="C137" s="110"/>
    </row>
    <row r="138" spans="1:19" x14ac:dyDescent="0.25">
      <c r="B138" s="108"/>
      <c r="C138" s="110"/>
    </row>
    <row r="139" spans="1:19" x14ac:dyDescent="0.25">
      <c r="A139" t="s">
        <v>366</v>
      </c>
      <c r="B139" s="108"/>
      <c r="C139" s="110"/>
    </row>
    <row r="140" spans="1:19" ht="75.75" thickBot="1" x14ac:dyDescent="0.3">
      <c r="A140" s="6" t="s">
        <v>364</v>
      </c>
      <c r="B140" s="6" t="s">
        <v>30</v>
      </c>
      <c r="C140" s="6" t="s">
        <v>31</v>
      </c>
      <c r="D140" s="6" t="s">
        <v>32</v>
      </c>
      <c r="E140" s="35" t="s">
        <v>33</v>
      </c>
      <c r="F140" s="6" t="s">
        <v>37</v>
      </c>
      <c r="G140" s="6" t="s">
        <v>36</v>
      </c>
      <c r="H140" s="35" t="s">
        <v>44</v>
      </c>
      <c r="I140" s="6" t="s">
        <v>40</v>
      </c>
      <c r="J140" s="6" t="s">
        <v>39</v>
      </c>
      <c r="K140" s="6" t="s">
        <v>230</v>
      </c>
      <c r="L140" s="6" t="s">
        <v>41</v>
      </c>
      <c r="M140" s="35" t="s">
        <v>45</v>
      </c>
      <c r="N140" s="6" t="s">
        <v>34</v>
      </c>
      <c r="O140" s="6" t="s">
        <v>35</v>
      </c>
      <c r="P140" s="35" t="s">
        <v>46</v>
      </c>
      <c r="Q140" s="35" t="s">
        <v>38</v>
      </c>
      <c r="R140" s="6" t="s">
        <v>363</v>
      </c>
      <c r="S140" s="6" t="s">
        <v>362</v>
      </c>
    </row>
    <row r="141" spans="1:19" x14ac:dyDescent="0.25">
      <c r="A141" s="43" t="s">
        <v>365</v>
      </c>
      <c r="B141" s="43" t="s">
        <v>79</v>
      </c>
      <c r="C141" s="60">
        <f>IF(VLOOKUP(B141,'[1]UT Rate Study HCBS Survey'!$B$6:$FG$139,129,0)=0,"",VLOOKUP(B141,'[1]UT Rate Study HCBS Survey'!$B$6:$FG$139,129,0))</f>
        <v>16</v>
      </c>
      <c r="D141" s="61">
        <f>IF(VLOOKUP(B141,'[1]UT Rate Study HCBS Survey'!$B$6:$FG$139,130,0)=0,"",VLOOKUP(B141,'[1]UT Rate Study HCBS Survey'!$B$6:$FG$139,130,0))</f>
        <v>240</v>
      </c>
      <c r="E141" s="36">
        <f t="shared" ref="E141" si="19">IF(IFERROR(C141/D141,0)=0,"",IFERROR(C141/D141,0))</f>
        <v>6.6666666666666666E-2</v>
      </c>
      <c r="F141" s="60" t="str">
        <f>IF(VLOOKUP(B141,'[1]UT Rate Study HCBS Survey'!$B$6:$FG$139,140,0)=0,"",VLOOKUP(B141,'[1]UT Rate Study HCBS Survey'!$B$6:$FG$139,140,0))</f>
        <v/>
      </c>
      <c r="G141" s="60" t="str">
        <f>IF(VLOOKUP(B141,'[1]UT Rate Study HCBS Survey'!$B$6:$FG$139,139,0)=0,"",VLOOKUP(B141,'[1]UT Rate Study HCBS Survey'!$B$6:$FG$139,139,0))</f>
        <v/>
      </c>
      <c r="H141" s="37" t="str">
        <f t="shared" ref="H141" si="20">IF(IFERROR(F141/G141,0)=0,"",IFERROR(F141/G141,0))</f>
        <v/>
      </c>
      <c r="I141" s="60" t="str">
        <f>IF(VLOOKUP(B141,'[1]UT Rate Study HCBS Survey'!$B$6:$FG$139,133,0)=0,"",VLOOKUP(B141,'[1]UT Rate Study HCBS Survey'!$B$6:$FG$139,133,0))</f>
        <v/>
      </c>
      <c r="J141" s="60">
        <f>IF(VLOOKUP(B141,'[1]UT Rate Study HCBS Survey'!$B$6:$FG$139,131,0)=0,"",VLOOKUP(B141,'[1]UT Rate Study HCBS Survey'!$B$6:$FG$139,131,0))</f>
        <v>16</v>
      </c>
      <c r="K141" s="60" t="str">
        <f>IF(VLOOKUP(B141,'[1]UT Rate Study HCBS Survey'!$B$6:$FG$139,134,0)=0,"",VLOOKUP(B141,'[1]UT Rate Study HCBS Survey'!$B$6:$FG$139,134,0))</f>
        <v/>
      </c>
      <c r="L141" s="60" t="str">
        <f>IF(VLOOKUP(B141,'[1]UT Rate Study HCBS Survey'!$B$6:$FG$139,135,0)=0,"",VLOOKUP(B141,'[1]UT Rate Study HCBS Survey'!$B$6:$FG$139,135,0))</f>
        <v/>
      </c>
      <c r="M141" s="37">
        <f t="shared" ref="M141" si="21">IF(IFERROR(SUM(J141:L141)/SUM(C141,I141),0)=0,"",IFERROR(SUM(J141:L141)/SUM(C141,I141),0))</f>
        <v>1</v>
      </c>
      <c r="N141" s="60" t="str">
        <f>IF(VLOOKUP(B141,'[1]UT Rate Study HCBS Survey'!$B$6:$FG$139,138,0)=0,"",VLOOKUP(B141,'[1]UT Rate Study HCBS Survey'!$B$6:$FG$139,138,0))</f>
        <v/>
      </c>
      <c r="O141" s="60" t="str">
        <f>IF(VLOOKUP(B141,'[1]UT Rate Study HCBS Survey'!$B$6:$FG$139,141,0)=0,"",VLOOKUP(B141,'[1]UT Rate Study HCBS Survey'!$B$6:$FG$139,141,0))</f>
        <v/>
      </c>
      <c r="P141" s="37" t="str">
        <f t="shared" ref="P141" si="22">IF(IFERROR(O141/N141,0)=0,"",IFERROR(O141/N141,0))</f>
        <v/>
      </c>
      <c r="Q141" s="36">
        <f t="shared" ref="Q141" si="23">IFERROR(E141*(1+SUM(H141,M141,P141)),"")</f>
        <v>0.13333333333333333</v>
      </c>
      <c r="R141" s="9" t="s">
        <v>357</v>
      </c>
      <c r="S141" s="9" t="s">
        <v>367</v>
      </c>
    </row>
    <row r="142" spans="1:19" x14ac:dyDescent="0.25">
      <c r="A142" s="43" t="s">
        <v>365</v>
      </c>
      <c r="B142" s="43" t="s">
        <v>83</v>
      </c>
      <c r="C142" s="60" t="str">
        <f>IF(VLOOKUP(B142,'[1]UT Rate Study HCBS Survey'!$B$6:$FG$139,129,0)=0,"",VLOOKUP(B142,'[1]UT Rate Study HCBS Survey'!$B$6:$FG$139,129,0))</f>
        <v/>
      </c>
      <c r="D142" s="61" t="str">
        <f>IF(VLOOKUP(B142,'[1]UT Rate Study HCBS Survey'!$B$6:$FG$139,130,0)=0,"",VLOOKUP(B142,'[1]UT Rate Study HCBS Survey'!$B$6:$FG$139,130,0))</f>
        <v/>
      </c>
      <c r="E142" s="36" t="str">
        <f t="shared" ref="E142:E156" si="24">IF(IFERROR(C142/D142,0)=0,"",IFERROR(C142/D142,0))</f>
        <v/>
      </c>
      <c r="F142" s="60">
        <f>IF(VLOOKUP(B142,'[1]UT Rate Study HCBS Survey'!$B$6:$FG$139,140,0)=0,"",VLOOKUP(B142,'[1]UT Rate Study HCBS Survey'!$B$6:$FG$139,140,0))</f>
        <v>4918.4800000000005</v>
      </c>
      <c r="G142" s="60">
        <f>IF(VLOOKUP(B142,'[1]UT Rate Study HCBS Survey'!$B$6:$FG$139,139,0)=0,"",VLOOKUP(B142,'[1]UT Rate Study HCBS Survey'!$B$6:$FG$139,139,0))</f>
        <v>44625.570000000007</v>
      </c>
      <c r="H142" s="37">
        <f t="shared" ref="H142:H156" si="25">IF(IFERROR(F142/G142,0)=0,"",IFERROR(F142/G142,0))</f>
        <v>0.11021663140661284</v>
      </c>
      <c r="I142" s="60">
        <f>IF(VLOOKUP(B142,'[1]UT Rate Study HCBS Survey'!$B$6:$FG$139,133,0)=0,"",VLOOKUP(B142,'[1]UT Rate Study HCBS Survey'!$B$6:$FG$139,133,0))</f>
        <v>72207.42</v>
      </c>
      <c r="J142" s="60" t="str">
        <f>IF(VLOOKUP(B142,'[1]UT Rate Study HCBS Survey'!$B$6:$FG$139,131,0)=0,"",VLOOKUP(B142,'[1]UT Rate Study HCBS Survey'!$B$6:$FG$139,131,0))</f>
        <v/>
      </c>
      <c r="K142" s="60" t="str">
        <f>IF(VLOOKUP(B142,'[1]UT Rate Study HCBS Survey'!$B$6:$FG$139,134,0)=0,"",VLOOKUP(B142,'[1]UT Rate Study HCBS Survey'!$B$6:$FG$139,134,0))</f>
        <v/>
      </c>
      <c r="L142" s="60">
        <f>IF(VLOOKUP(B142,'[1]UT Rate Study HCBS Survey'!$B$6:$FG$139,135,0)=0,"",VLOOKUP(B142,'[1]UT Rate Study HCBS Survey'!$B$6:$FG$139,135,0))</f>
        <v>12094.98</v>
      </c>
      <c r="M142" s="37">
        <f t="shared" ref="M142:M156" si="26">IF(IFERROR(SUM(J142:L142)/SUM(C142,I142),0)=0,"",IFERROR(SUM(J142:L142)/SUM(C142,I142),0))</f>
        <v>0.16750328428851219</v>
      </c>
      <c r="N142" s="60">
        <f>IF(VLOOKUP(B142,'[1]UT Rate Study HCBS Survey'!$B$6:$FG$139,138,0)=0,"",VLOOKUP(B142,'[1]UT Rate Study HCBS Survey'!$B$6:$FG$139,138,0))</f>
        <v>131145.01</v>
      </c>
      <c r="O142" s="60">
        <f>IF(VLOOKUP(B142,'[1]UT Rate Study HCBS Survey'!$B$6:$FG$139,141,0)=0,"",VLOOKUP(B142,'[1]UT Rate Study HCBS Survey'!$B$6:$FG$139,141,0))</f>
        <v>4000</v>
      </c>
      <c r="P142" s="37">
        <f t="shared" ref="P142:P156" si="27">IF(IFERROR(O142/N142,0)=0,"",IFERROR(O142/N142,0))</f>
        <v>3.0500588623234692E-2</v>
      </c>
      <c r="Q142" s="36" t="str">
        <f t="shared" ref="Q142:Q156" si="28">IFERROR(E142*(1+SUM(H142,M142,P142)),"")</f>
        <v/>
      </c>
      <c r="R142" s="9" t="s">
        <v>357</v>
      </c>
      <c r="S142" s="9" t="s">
        <v>358</v>
      </c>
    </row>
    <row r="143" spans="1:19" x14ac:dyDescent="0.25">
      <c r="A143" s="43" t="s">
        <v>365</v>
      </c>
      <c r="B143" s="43" t="s">
        <v>85</v>
      </c>
      <c r="C143" s="60" t="str">
        <f>IF(VLOOKUP(B143,'[1]UT Rate Study HCBS Survey'!$B$6:$FG$139,129,0)=0,"",VLOOKUP(B143,'[1]UT Rate Study HCBS Survey'!$B$6:$FG$139,129,0))</f>
        <v/>
      </c>
      <c r="D143" s="61" t="str">
        <f>IF(VLOOKUP(B143,'[1]UT Rate Study HCBS Survey'!$B$6:$FG$139,130,0)=0,"",VLOOKUP(B143,'[1]UT Rate Study HCBS Survey'!$B$6:$FG$139,130,0))</f>
        <v/>
      </c>
      <c r="E143" s="36" t="str">
        <f t="shared" si="24"/>
        <v/>
      </c>
      <c r="F143" s="60" t="str">
        <f>IF(VLOOKUP(B143,'[1]UT Rate Study HCBS Survey'!$B$6:$FG$139,140,0)=0,"",VLOOKUP(B143,'[1]UT Rate Study HCBS Survey'!$B$6:$FG$139,140,0))</f>
        <v/>
      </c>
      <c r="G143" s="60" t="str">
        <f>IF(VLOOKUP(B143,'[1]UT Rate Study HCBS Survey'!$B$6:$FG$139,139,0)=0,"",VLOOKUP(B143,'[1]UT Rate Study HCBS Survey'!$B$6:$FG$139,139,0))</f>
        <v/>
      </c>
      <c r="H143" s="37" t="str">
        <f t="shared" si="25"/>
        <v/>
      </c>
      <c r="I143" s="60" t="str">
        <f>IF(VLOOKUP(B143,'[1]UT Rate Study HCBS Survey'!$B$6:$FG$139,133,0)=0,"",VLOOKUP(B143,'[1]UT Rate Study HCBS Survey'!$B$6:$FG$139,133,0))</f>
        <v/>
      </c>
      <c r="J143" s="60" t="str">
        <f>IF(VLOOKUP(B143,'[1]UT Rate Study HCBS Survey'!$B$6:$FG$139,131,0)=0,"",VLOOKUP(B143,'[1]UT Rate Study HCBS Survey'!$B$6:$FG$139,131,0))</f>
        <v/>
      </c>
      <c r="K143" s="60" t="str">
        <f>IF(VLOOKUP(B143,'[1]UT Rate Study HCBS Survey'!$B$6:$FG$139,134,0)=0,"",VLOOKUP(B143,'[1]UT Rate Study HCBS Survey'!$B$6:$FG$139,134,0))</f>
        <v/>
      </c>
      <c r="L143" s="60" t="str">
        <f>IF(VLOOKUP(B143,'[1]UT Rate Study HCBS Survey'!$B$6:$FG$139,135,0)=0,"",VLOOKUP(B143,'[1]UT Rate Study HCBS Survey'!$B$6:$FG$139,135,0))</f>
        <v/>
      </c>
      <c r="M143" s="37" t="str">
        <f t="shared" si="26"/>
        <v/>
      </c>
      <c r="N143" s="60" t="str">
        <f>IF(VLOOKUP(B143,'[1]UT Rate Study HCBS Survey'!$B$6:$FG$139,138,0)=0,"",VLOOKUP(B143,'[1]UT Rate Study HCBS Survey'!$B$6:$FG$139,138,0))</f>
        <v/>
      </c>
      <c r="O143" s="60" t="str">
        <f>IF(VLOOKUP(B143,'[1]UT Rate Study HCBS Survey'!$B$6:$FG$139,141,0)=0,"",VLOOKUP(B143,'[1]UT Rate Study HCBS Survey'!$B$6:$FG$139,141,0))</f>
        <v/>
      </c>
      <c r="P143" s="37" t="str">
        <f t="shared" si="27"/>
        <v/>
      </c>
      <c r="Q143" s="36" t="str">
        <f t="shared" si="28"/>
        <v/>
      </c>
      <c r="R143" s="9" t="s">
        <v>357</v>
      </c>
      <c r="S143" s="9" t="s">
        <v>358</v>
      </c>
    </row>
    <row r="144" spans="1:19" x14ac:dyDescent="0.25">
      <c r="A144" s="43" t="s">
        <v>365</v>
      </c>
      <c r="B144" s="43" t="s">
        <v>86</v>
      </c>
      <c r="C144" s="60" t="str">
        <f>IF(VLOOKUP(B144,'[1]UT Rate Study HCBS Survey'!$B$6:$FG$139,129,0)=0,"",VLOOKUP(B144,'[1]UT Rate Study HCBS Survey'!$B$6:$FG$139,129,0))</f>
        <v/>
      </c>
      <c r="D144" s="61" t="str">
        <f>IF(VLOOKUP(B144,'[1]UT Rate Study HCBS Survey'!$B$6:$FG$139,130,0)=0,"",VLOOKUP(B144,'[1]UT Rate Study HCBS Survey'!$B$6:$FG$139,130,0))</f>
        <v/>
      </c>
      <c r="E144" s="36" t="str">
        <f t="shared" si="24"/>
        <v/>
      </c>
      <c r="F144" s="60" t="str">
        <f>IF(VLOOKUP(B144,'[1]UT Rate Study HCBS Survey'!$B$6:$FG$139,140,0)=0,"",VLOOKUP(B144,'[1]UT Rate Study HCBS Survey'!$B$6:$FG$139,140,0))</f>
        <v/>
      </c>
      <c r="G144" s="60" t="str">
        <f>IF(VLOOKUP(B144,'[1]UT Rate Study HCBS Survey'!$B$6:$FG$139,139,0)=0,"",VLOOKUP(B144,'[1]UT Rate Study HCBS Survey'!$B$6:$FG$139,139,0))</f>
        <v/>
      </c>
      <c r="H144" s="37" t="str">
        <f t="shared" si="25"/>
        <v/>
      </c>
      <c r="I144" s="60" t="str">
        <f>IF(VLOOKUP(B144,'[1]UT Rate Study HCBS Survey'!$B$6:$FG$139,133,0)=0,"",VLOOKUP(B144,'[1]UT Rate Study HCBS Survey'!$B$6:$FG$139,133,0))</f>
        <v/>
      </c>
      <c r="J144" s="60" t="str">
        <f>IF(VLOOKUP(B144,'[1]UT Rate Study HCBS Survey'!$B$6:$FG$139,131,0)=0,"",VLOOKUP(B144,'[1]UT Rate Study HCBS Survey'!$B$6:$FG$139,131,0))</f>
        <v/>
      </c>
      <c r="K144" s="60" t="str">
        <f>IF(VLOOKUP(B144,'[1]UT Rate Study HCBS Survey'!$B$6:$FG$139,134,0)=0,"",VLOOKUP(B144,'[1]UT Rate Study HCBS Survey'!$B$6:$FG$139,134,0))</f>
        <v/>
      </c>
      <c r="L144" s="60" t="str">
        <f>IF(VLOOKUP(B144,'[1]UT Rate Study HCBS Survey'!$B$6:$FG$139,135,0)=0,"",VLOOKUP(B144,'[1]UT Rate Study HCBS Survey'!$B$6:$FG$139,135,0))</f>
        <v/>
      </c>
      <c r="M144" s="37" t="str">
        <f t="shared" si="26"/>
        <v/>
      </c>
      <c r="N144" s="60" t="str">
        <f>IF(VLOOKUP(B144,'[1]UT Rate Study HCBS Survey'!$B$6:$FG$139,138,0)=0,"",VLOOKUP(B144,'[1]UT Rate Study HCBS Survey'!$B$6:$FG$139,138,0))</f>
        <v/>
      </c>
      <c r="O144" s="60" t="str">
        <f>IF(VLOOKUP(B144,'[1]UT Rate Study HCBS Survey'!$B$6:$FG$139,141,0)=0,"",VLOOKUP(B144,'[1]UT Rate Study HCBS Survey'!$B$6:$FG$139,141,0))</f>
        <v/>
      </c>
      <c r="P144" s="37" t="str">
        <f t="shared" si="27"/>
        <v/>
      </c>
      <c r="Q144" s="36" t="str">
        <f t="shared" si="28"/>
        <v/>
      </c>
      <c r="R144" s="9" t="s">
        <v>357</v>
      </c>
      <c r="S144" s="9" t="s">
        <v>358</v>
      </c>
    </row>
    <row r="145" spans="1:19" x14ac:dyDescent="0.25">
      <c r="A145" s="43" t="s">
        <v>365</v>
      </c>
      <c r="B145" s="43" t="s">
        <v>87</v>
      </c>
      <c r="C145" s="60" t="str">
        <f>IF(VLOOKUP(B145,'[1]UT Rate Study HCBS Survey'!$B$6:$FG$139,129,0)=0,"",VLOOKUP(B145,'[1]UT Rate Study HCBS Survey'!$B$6:$FG$139,129,0))</f>
        <v/>
      </c>
      <c r="D145" s="61" t="str">
        <f>IF(VLOOKUP(B145,'[1]UT Rate Study HCBS Survey'!$B$6:$FG$139,130,0)=0,"",VLOOKUP(B145,'[1]UT Rate Study HCBS Survey'!$B$6:$FG$139,130,0))</f>
        <v/>
      </c>
      <c r="E145" s="36" t="str">
        <f t="shared" si="24"/>
        <v/>
      </c>
      <c r="F145" s="60" t="str">
        <f>IF(VLOOKUP(B145,'[1]UT Rate Study HCBS Survey'!$B$6:$FG$139,140,0)=0,"",VLOOKUP(B145,'[1]UT Rate Study HCBS Survey'!$B$6:$FG$139,140,0))</f>
        <v/>
      </c>
      <c r="G145" s="60" t="str">
        <f>IF(VLOOKUP(B145,'[1]UT Rate Study HCBS Survey'!$B$6:$FG$139,139,0)=0,"",VLOOKUP(B145,'[1]UT Rate Study HCBS Survey'!$B$6:$FG$139,139,0))</f>
        <v/>
      </c>
      <c r="H145" s="37" t="str">
        <f t="shared" si="25"/>
        <v/>
      </c>
      <c r="I145" s="60" t="str">
        <f>IF(VLOOKUP(B145,'[1]UT Rate Study HCBS Survey'!$B$6:$FG$139,133,0)=0,"",VLOOKUP(B145,'[1]UT Rate Study HCBS Survey'!$B$6:$FG$139,133,0))</f>
        <v/>
      </c>
      <c r="J145" s="60" t="str">
        <f>IF(VLOOKUP(B145,'[1]UT Rate Study HCBS Survey'!$B$6:$FG$139,131,0)=0,"",VLOOKUP(B145,'[1]UT Rate Study HCBS Survey'!$B$6:$FG$139,131,0))</f>
        <v/>
      </c>
      <c r="K145" s="60" t="str">
        <f>IF(VLOOKUP(B145,'[1]UT Rate Study HCBS Survey'!$B$6:$FG$139,134,0)=0,"",VLOOKUP(B145,'[1]UT Rate Study HCBS Survey'!$B$6:$FG$139,134,0))</f>
        <v/>
      </c>
      <c r="L145" s="60" t="str">
        <f>IF(VLOOKUP(B145,'[1]UT Rate Study HCBS Survey'!$B$6:$FG$139,135,0)=0,"",VLOOKUP(B145,'[1]UT Rate Study HCBS Survey'!$B$6:$FG$139,135,0))</f>
        <v/>
      </c>
      <c r="M145" s="37" t="str">
        <f t="shared" si="26"/>
        <v/>
      </c>
      <c r="N145" s="60" t="str">
        <f>IF(VLOOKUP(B145,'[1]UT Rate Study HCBS Survey'!$B$6:$FG$139,138,0)=0,"",VLOOKUP(B145,'[1]UT Rate Study HCBS Survey'!$B$6:$FG$139,138,0))</f>
        <v/>
      </c>
      <c r="O145" s="60" t="str">
        <f>IF(VLOOKUP(B145,'[1]UT Rate Study HCBS Survey'!$B$6:$FG$139,141,0)=0,"",VLOOKUP(B145,'[1]UT Rate Study HCBS Survey'!$B$6:$FG$139,141,0))</f>
        <v/>
      </c>
      <c r="P145" s="37" t="str">
        <f t="shared" si="27"/>
        <v/>
      </c>
      <c r="Q145" s="36" t="str">
        <f t="shared" si="28"/>
        <v/>
      </c>
      <c r="R145" s="9" t="s">
        <v>357</v>
      </c>
      <c r="S145" s="9" t="s">
        <v>358</v>
      </c>
    </row>
    <row r="146" spans="1:19" x14ac:dyDescent="0.25">
      <c r="A146" s="43" t="s">
        <v>365</v>
      </c>
      <c r="B146" s="43" t="s">
        <v>89</v>
      </c>
      <c r="C146" s="60" t="str">
        <f>IF(VLOOKUP(B146,'[1]UT Rate Study HCBS Survey'!$B$6:$FG$139,129,0)=0,"",VLOOKUP(B146,'[1]UT Rate Study HCBS Survey'!$B$6:$FG$139,129,0))</f>
        <v/>
      </c>
      <c r="D146" s="61" t="str">
        <f>IF(VLOOKUP(B146,'[1]UT Rate Study HCBS Survey'!$B$6:$FG$139,130,0)=0,"",VLOOKUP(B146,'[1]UT Rate Study HCBS Survey'!$B$6:$FG$139,130,0))</f>
        <v/>
      </c>
      <c r="E146" s="36" t="str">
        <f t="shared" si="24"/>
        <v/>
      </c>
      <c r="F146" s="60" t="str">
        <f>IF(VLOOKUP(B146,'[1]UT Rate Study HCBS Survey'!$B$6:$FG$139,140,0)=0,"",VLOOKUP(B146,'[1]UT Rate Study HCBS Survey'!$B$6:$FG$139,140,0))</f>
        <v/>
      </c>
      <c r="G146" s="60" t="str">
        <f>IF(VLOOKUP(B146,'[1]UT Rate Study HCBS Survey'!$B$6:$FG$139,139,0)=0,"",VLOOKUP(B146,'[1]UT Rate Study HCBS Survey'!$B$6:$FG$139,139,0))</f>
        <v/>
      </c>
      <c r="H146" s="37" t="str">
        <f t="shared" si="25"/>
        <v/>
      </c>
      <c r="I146" s="60" t="str">
        <f>IF(VLOOKUP(B146,'[1]UT Rate Study HCBS Survey'!$B$6:$FG$139,133,0)=0,"",VLOOKUP(B146,'[1]UT Rate Study HCBS Survey'!$B$6:$FG$139,133,0))</f>
        <v/>
      </c>
      <c r="J146" s="60" t="str">
        <f>IF(VLOOKUP(B146,'[1]UT Rate Study HCBS Survey'!$B$6:$FG$139,131,0)=0,"",VLOOKUP(B146,'[1]UT Rate Study HCBS Survey'!$B$6:$FG$139,131,0))</f>
        <v/>
      </c>
      <c r="K146" s="60" t="str">
        <f>IF(VLOOKUP(B146,'[1]UT Rate Study HCBS Survey'!$B$6:$FG$139,134,0)=0,"",VLOOKUP(B146,'[1]UT Rate Study HCBS Survey'!$B$6:$FG$139,134,0))</f>
        <v/>
      </c>
      <c r="L146" s="60" t="str">
        <f>IF(VLOOKUP(B146,'[1]UT Rate Study HCBS Survey'!$B$6:$FG$139,135,0)=0,"",VLOOKUP(B146,'[1]UT Rate Study HCBS Survey'!$B$6:$FG$139,135,0))</f>
        <v/>
      </c>
      <c r="M146" s="37" t="str">
        <f t="shared" si="26"/>
        <v/>
      </c>
      <c r="N146" s="60" t="str">
        <f>IF(VLOOKUP(B146,'[1]UT Rate Study HCBS Survey'!$B$6:$FG$139,138,0)=0,"",VLOOKUP(B146,'[1]UT Rate Study HCBS Survey'!$B$6:$FG$139,138,0))</f>
        <v/>
      </c>
      <c r="O146" s="60" t="str">
        <f>IF(VLOOKUP(B146,'[1]UT Rate Study HCBS Survey'!$B$6:$FG$139,141,0)=0,"",VLOOKUP(B146,'[1]UT Rate Study HCBS Survey'!$B$6:$FG$139,141,0))</f>
        <v/>
      </c>
      <c r="P146" s="37" t="str">
        <f t="shared" si="27"/>
        <v/>
      </c>
      <c r="Q146" s="36" t="str">
        <f t="shared" si="28"/>
        <v/>
      </c>
      <c r="R146" s="9" t="s">
        <v>357</v>
      </c>
      <c r="S146" s="9" t="s">
        <v>358</v>
      </c>
    </row>
    <row r="147" spans="1:19" x14ac:dyDescent="0.25">
      <c r="A147" s="43" t="s">
        <v>365</v>
      </c>
      <c r="B147" s="43" t="s">
        <v>92</v>
      </c>
      <c r="C147" s="60" t="str">
        <f>IF(VLOOKUP(B147,'[1]UT Rate Study HCBS Survey'!$B$6:$FG$139,129,0)=0,"",VLOOKUP(B147,'[1]UT Rate Study HCBS Survey'!$B$6:$FG$139,129,0))</f>
        <v/>
      </c>
      <c r="D147" s="61" t="str">
        <f>IF(VLOOKUP(B147,'[1]UT Rate Study HCBS Survey'!$B$6:$FG$139,130,0)=0,"",VLOOKUP(B147,'[1]UT Rate Study HCBS Survey'!$B$6:$FG$139,130,0))</f>
        <v/>
      </c>
      <c r="E147" s="36" t="str">
        <f t="shared" si="24"/>
        <v/>
      </c>
      <c r="F147" s="60" t="str">
        <f>IF(VLOOKUP(B147,'[1]UT Rate Study HCBS Survey'!$B$6:$FG$139,140,0)=0,"",VLOOKUP(B147,'[1]UT Rate Study HCBS Survey'!$B$6:$FG$139,140,0))</f>
        <v/>
      </c>
      <c r="G147" s="60" t="str">
        <f>IF(VLOOKUP(B147,'[1]UT Rate Study HCBS Survey'!$B$6:$FG$139,139,0)=0,"",VLOOKUP(B147,'[1]UT Rate Study HCBS Survey'!$B$6:$FG$139,139,0))</f>
        <v/>
      </c>
      <c r="H147" s="37" t="str">
        <f t="shared" si="25"/>
        <v/>
      </c>
      <c r="I147" s="60" t="str">
        <f>IF(VLOOKUP(B147,'[1]UT Rate Study HCBS Survey'!$B$6:$FG$139,133,0)=0,"",VLOOKUP(B147,'[1]UT Rate Study HCBS Survey'!$B$6:$FG$139,133,0))</f>
        <v/>
      </c>
      <c r="J147" s="60" t="str">
        <f>IF(VLOOKUP(B147,'[1]UT Rate Study HCBS Survey'!$B$6:$FG$139,131,0)=0,"",VLOOKUP(B147,'[1]UT Rate Study HCBS Survey'!$B$6:$FG$139,131,0))</f>
        <v/>
      </c>
      <c r="K147" s="60" t="str">
        <f>IF(VLOOKUP(B147,'[1]UT Rate Study HCBS Survey'!$B$6:$FG$139,134,0)=0,"",VLOOKUP(B147,'[1]UT Rate Study HCBS Survey'!$B$6:$FG$139,134,0))</f>
        <v/>
      </c>
      <c r="L147" s="60" t="str">
        <f>IF(VLOOKUP(B147,'[1]UT Rate Study HCBS Survey'!$B$6:$FG$139,135,0)=0,"",VLOOKUP(B147,'[1]UT Rate Study HCBS Survey'!$B$6:$FG$139,135,0))</f>
        <v/>
      </c>
      <c r="M147" s="37" t="str">
        <f t="shared" si="26"/>
        <v/>
      </c>
      <c r="N147" s="60" t="str">
        <f>IF(VLOOKUP(B147,'[1]UT Rate Study HCBS Survey'!$B$6:$FG$139,138,0)=0,"",VLOOKUP(B147,'[1]UT Rate Study HCBS Survey'!$B$6:$FG$139,138,0))</f>
        <v/>
      </c>
      <c r="O147" s="60" t="str">
        <f>IF(VLOOKUP(B147,'[1]UT Rate Study HCBS Survey'!$B$6:$FG$139,141,0)=0,"",VLOOKUP(B147,'[1]UT Rate Study HCBS Survey'!$B$6:$FG$139,141,0))</f>
        <v/>
      </c>
      <c r="P147" s="37" t="str">
        <f t="shared" si="27"/>
        <v/>
      </c>
      <c r="Q147" s="36" t="str">
        <f t="shared" si="28"/>
        <v/>
      </c>
      <c r="R147" s="9" t="s">
        <v>357</v>
      </c>
      <c r="S147" s="9" t="s">
        <v>358</v>
      </c>
    </row>
    <row r="148" spans="1:19" x14ac:dyDescent="0.25">
      <c r="A148" s="43" t="s">
        <v>365</v>
      </c>
      <c r="B148" s="43" t="s">
        <v>95</v>
      </c>
      <c r="C148" s="60" t="str">
        <f>IF(VLOOKUP(B148,'[1]UT Rate Study HCBS Survey'!$B$6:$FG$139,129,0)=0,"",VLOOKUP(B148,'[1]UT Rate Study HCBS Survey'!$B$6:$FG$139,129,0))</f>
        <v/>
      </c>
      <c r="D148" s="61" t="str">
        <f>IF(VLOOKUP(B148,'[1]UT Rate Study HCBS Survey'!$B$6:$FG$139,130,0)=0,"",VLOOKUP(B148,'[1]UT Rate Study HCBS Survey'!$B$6:$FG$139,130,0))</f>
        <v/>
      </c>
      <c r="E148" s="36" t="str">
        <f t="shared" si="24"/>
        <v/>
      </c>
      <c r="F148" s="60" t="str">
        <f>IF(VLOOKUP(B148,'[1]UT Rate Study HCBS Survey'!$B$6:$FG$139,140,0)=0,"",VLOOKUP(B148,'[1]UT Rate Study HCBS Survey'!$B$6:$FG$139,140,0))</f>
        <v/>
      </c>
      <c r="G148" s="60" t="str">
        <f>IF(VLOOKUP(B148,'[1]UT Rate Study HCBS Survey'!$B$6:$FG$139,139,0)=0,"",VLOOKUP(B148,'[1]UT Rate Study HCBS Survey'!$B$6:$FG$139,139,0))</f>
        <v/>
      </c>
      <c r="H148" s="37" t="str">
        <f t="shared" si="25"/>
        <v/>
      </c>
      <c r="I148" s="60" t="str">
        <f>IF(VLOOKUP(B148,'[1]UT Rate Study HCBS Survey'!$B$6:$FG$139,133,0)=0,"",VLOOKUP(B148,'[1]UT Rate Study HCBS Survey'!$B$6:$FG$139,133,0))</f>
        <v/>
      </c>
      <c r="J148" s="60" t="str">
        <f>IF(VLOOKUP(B148,'[1]UT Rate Study HCBS Survey'!$B$6:$FG$139,131,0)=0,"",VLOOKUP(B148,'[1]UT Rate Study HCBS Survey'!$B$6:$FG$139,131,0))</f>
        <v/>
      </c>
      <c r="K148" s="60" t="str">
        <f>IF(VLOOKUP(B148,'[1]UT Rate Study HCBS Survey'!$B$6:$FG$139,134,0)=0,"",VLOOKUP(B148,'[1]UT Rate Study HCBS Survey'!$B$6:$FG$139,134,0))</f>
        <v/>
      </c>
      <c r="L148" s="60" t="str">
        <f>IF(VLOOKUP(B148,'[1]UT Rate Study HCBS Survey'!$B$6:$FG$139,135,0)=0,"",VLOOKUP(B148,'[1]UT Rate Study HCBS Survey'!$B$6:$FG$139,135,0))</f>
        <v/>
      </c>
      <c r="M148" s="37" t="str">
        <f t="shared" si="26"/>
        <v/>
      </c>
      <c r="N148" s="60" t="str">
        <f>IF(VLOOKUP(B148,'[1]UT Rate Study HCBS Survey'!$B$6:$FG$139,138,0)=0,"",VLOOKUP(B148,'[1]UT Rate Study HCBS Survey'!$B$6:$FG$139,138,0))</f>
        <v/>
      </c>
      <c r="O148" s="60" t="str">
        <f>IF(VLOOKUP(B148,'[1]UT Rate Study HCBS Survey'!$B$6:$FG$139,141,0)=0,"",VLOOKUP(B148,'[1]UT Rate Study HCBS Survey'!$B$6:$FG$139,141,0))</f>
        <v/>
      </c>
      <c r="P148" s="37" t="str">
        <f t="shared" si="27"/>
        <v/>
      </c>
      <c r="Q148" s="36" t="str">
        <f t="shared" si="28"/>
        <v/>
      </c>
      <c r="R148" s="9" t="s">
        <v>357</v>
      </c>
      <c r="S148" s="9" t="s">
        <v>358</v>
      </c>
    </row>
    <row r="149" spans="1:19" x14ac:dyDescent="0.25">
      <c r="A149" s="43" t="s">
        <v>365</v>
      </c>
      <c r="B149" s="43" t="s">
        <v>96</v>
      </c>
      <c r="C149" s="60">
        <f>IF(VLOOKUP(B149,'[1]UT Rate Study HCBS Survey'!$B$6:$FG$139,129,0)=0,"",VLOOKUP(B149,'[1]UT Rate Study HCBS Survey'!$B$6:$FG$139,129,0))</f>
        <v>2400</v>
      </c>
      <c r="D149" s="61">
        <f>IF(VLOOKUP(B149,'[1]UT Rate Study HCBS Survey'!$B$6:$FG$139,130,0)=0,"",VLOOKUP(B149,'[1]UT Rate Study HCBS Survey'!$B$6:$FG$139,130,0))</f>
        <v>145</v>
      </c>
      <c r="E149" s="36">
        <f t="shared" si="24"/>
        <v>16.551724137931036</v>
      </c>
      <c r="F149" s="60" t="str">
        <f>IF(VLOOKUP(B149,'[1]UT Rate Study HCBS Survey'!$B$6:$FG$139,140,0)=0,"",VLOOKUP(B149,'[1]UT Rate Study HCBS Survey'!$B$6:$FG$139,140,0))</f>
        <v/>
      </c>
      <c r="G149" s="60" t="str">
        <f>IF(VLOOKUP(B149,'[1]UT Rate Study HCBS Survey'!$B$6:$FG$139,139,0)=0,"",VLOOKUP(B149,'[1]UT Rate Study HCBS Survey'!$B$6:$FG$139,139,0))</f>
        <v/>
      </c>
      <c r="H149" s="37" t="str">
        <f t="shared" si="25"/>
        <v/>
      </c>
      <c r="I149" s="60" t="str">
        <f>IF(VLOOKUP(B149,'[1]UT Rate Study HCBS Survey'!$B$6:$FG$139,133,0)=0,"",VLOOKUP(B149,'[1]UT Rate Study HCBS Survey'!$B$6:$FG$139,133,0))</f>
        <v/>
      </c>
      <c r="J149" s="60">
        <f>IF(VLOOKUP(B149,'[1]UT Rate Study HCBS Survey'!$B$6:$FG$139,131,0)=0,"",VLOOKUP(B149,'[1]UT Rate Study HCBS Survey'!$B$6:$FG$139,131,0))</f>
        <v>20610</v>
      </c>
      <c r="K149" s="60">
        <f>IF(VLOOKUP(B149,'[1]UT Rate Study HCBS Survey'!$B$6:$FG$139,134,0)=0,"",VLOOKUP(B149,'[1]UT Rate Study HCBS Survey'!$B$6:$FG$139,134,0))</f>
        <v>1450</v>
      </c>
      <c r="L149" s="60">
        <f>IF(VLOOKUP(B149,'[1]UT Rate Study HCBS Survey'!$B$6:$FG$139,135,0)=0,"",VLOOKUP(B149,'[1]UT Rate Study HCBS Survey'!$B$6:$FG$139,135,0))</f>
        <v>900</v>
      </c>
      <c r="M149" s="37">
        <f t="shared" si="26"/>
        <v>9.5666666666666664</v>
      </c>
      <c r="N149" s="60" t="str">
        <f>IF(VLOOKUP(B149,'[1]UT Rate Study HCBS Survey'!$B$6:$FG$139,138,0)=0,"",VLOOKUP(B149,'[1]UT Rate Study HCBS Survey'!$B$6:$FG$139,138,0))</f>
        <v/>
      </c>
      <c r="O149" s="60" t="str">
        <f>IF(VLOOKUP(B149,'[1]UT Rate Study HCBS Survey'!$B$6:$FG$139,141,0)=0,"",VLOOKUP(B149,'[1]UT Rate Study HCBS Survey'!$B$6:$FG$139,141,0))</f>
        <v/>
      </c>
      <c r="P149" s="37" t="str">
        <f t="shared" si="27"/>
        <v/>
      </c>
      <c r="Q149" s="36">
        <f t="shared" si="28"/>
        <v>174.89655172413794</v>
      </c>
      <c r="R149" s="9" t="s">
        <v>357</v>
      </c>
      <c r="S149" s="9" t="s">
        <v>359</v>
      </c>
    </row>
    <row r="150" spans="1:19" x14ac:dyDescent="0.25">
      <c r="A150" s="43" t="s">
        <v>365</v>
      </c>
      <c r="B150" s="43" t="s">
        <v>109</v>
      </c>
      <c r="C150" s="60" t="str">
        <f>IF(VLOOKUP(B150,'[1]UT Rate Study HCBS Survey'!$B$6:$FG$139,129,0)=0,"",VLOOKUP(B150,'[1]UT Rate Study HCBS Survey'!$B$6:$FG$139,129,0))</f>
        <v/>
      </c>
      <c r="D150" s="61" t="str">
        <f>IF(VLOOKUP(B150,'[1]UT Rate Study HCBS Survey'!$B$6:$FG$139,130,0)=0,"",VLOOKUP(B150,'[1]UT Rate Study HCBS Survey'!$B$6:$FG$139,130,0))</f>
        <v/>
      </c>
      <c r="E150" s="36" t="str">
        <f t="shared" si="24"/>
        <v/>
      </c>
      <c r="F150" s="60" t="str">
        <f>IF(VLOOKUP(B150,'[1]UT Rate Study HCBS Survey'!$B$6:$FG$139,140,0)=0,"",VLOOKUP(B150,'[1]UT Rate Study HCBS Survey'!$B$6:$FG$139,140,0))</f>
        <v/>
      </c>
      <c r="G150" s="60" t="str">
        <f>IF(VLOOKUP(B150,'[1]UT Rate Study HCBS Survey'!$B$6:$FG$139,139,0)=0,"",VLOOKUP(B150,'[1]UT Rate Study HCBS Survey'!$B$6:$FG$139,139,0))</f>
        <v/>
      </c>
      <c r="H150" s="37" t="str">
        <f t="shared" si="25"/>
        <v/>
      </c>
      <c r="I150" s="60" t="str">
        <f>IF(VLOOKUP(B150,'[1]UT Rate Study HCBS Survey'!$B$6:$FG$139,133,0)=0,"",VLOOKUP(B150,'[1]UT Rate Study HCBS Survey'!$B$6:$FG$139,133,0))</f>
        <v/>
      </c>
      <c r="J150" s="60" t="str">
        <f>IF(VLOOKUP(B150,'[1]UT Rate Study HCBS Survey'!$B$6:$FG$139,131,0)=0,"",VLOOKUP(B150,'[1]UT Rate Study HCBS Survey'!$B$6:$FG$139,131,0))</f>
        <v/>
      </c>
      <c r="K150" s="60" t="str">
        <f>IF(VLOOKUP(B150,'[1]UT Rate Study HCBS Survey'!$B$6:$FG$139,134,0)=0,"",VLOOKUP(B150,'[1]UT Rate Study HCBS Survey'!$B$6:$FG$139,134,0))</f>
        <v/>
      </c>
      <c r="L150" s="60" t="str">
        <f>IF(VLOOKUP(B150,'[1]UT Rate Study HCBS Survey'!$B$6:$FG$139,135,0)=0,"",VLOOKUP(B150,'[1]UT Rate Study HCBS Survey'!$B$6:$FG$139,135,0))</f>
        <v/>
      </c>
      <c r="M150" s="37" t="str">
        <f t="shared" si="26"/>
        <v/>
      </c>
      <c r="N150" s="60" t="str">
        <f>IF(VLOOKUP(B150,'[1]UT Rate Study HCBS Survey'!$B$6:$FG$139,138,0)=0,"",VLOOKUP(B150,'[1]UT Rate Study HCBS Survey'!$B$6:$FG$139,138,0))</f>
        <v/>
      </c>
      <c r="O150" s="60" t="str">
        <f>IF(VLOOKUP(B150,'[1]UT Rate Study HCBS Survey'!$B$6:$FG$139,141,0)=0,"",VLOOKUP(B150,'[1]UT Rate Study HCBS Survey'!$B$6:$FG$139,141,0))</f>
        <v/>
      </c>
      <c r="P150" s="37" t="str">
        <f t="shared" si="27"/>
        <v/>
      </c>
      <c r="Q150" s="36" t="str">
        <f t="shared" si="28"/>
        <v/>
      </c>
      <c r="R150" s="9" t="s">
        <v>357</v>
      </c>
      <c r="S150" s="9" t="s">
        <v>358</v>
      </c>
    </row>
    <row r="151" spans="1:19" x14ac:dyDescent="0.25">
      <c r="A151" s="43" t="s">
        <v>365</v>
      </c>
      <c r="B151" s="43" t="s">
        <v>123</v>
      </c>
      <c r="C151" s="60">
        <f>IF(VLOOKUP(B151,'[1]UT Rate Study HCBS Survey'!$B$6:$FG$139,129,0)=0,"",VLOOKUP(B151,'[1]UT Rate Study HCBS Survey'!$B$6:$FG$139,129,0))</f>
        <v>3683.52</v>
      </c>
      <c r="D151" s="61">
        <f>IF(VLOOKUP(B151,'[1]UT Rate Study HCBS Survey'!$B$6:$FG$139,130,0)=0,"",VLOOKUP(B151,'[1]UT Rate Study HCBS Survey'!$B$6:$FG$139,130,0))</f>
        <v>30.75</v>
      </c>
      <c r="E151" s="36">
        <f t="shared" si="24"/>
        <v>119.78926829268292</v>
      </c>
      <c r="F151" s="60">
        <f>IF(VLOOKUP(B151,'[1]UT Rate Study HCBS Survey'!$B$6:$FG$139,140,0)=0,"",VLOOKUP(B151,'[1]UT Rate Study HCBS Survey'!$B$6:$FG$139,140,0))</f>
        <v>43259.4</v>
      </c>
      <c r="G151" s="60">
        <f>IF(VLOOKUP(B151,'[1]UT Rate Study HCBS Survey'!$B$6:$FG$139,139,0)=0,"",VLOOKUP(B151,'[1]UT Rate Study HCBS Survey'!$B$6:$FG$139,139,0))</f>
        <v>516384.08</v>
      </c>
      <c r="H151" s="37">
        <f t="shared" si="25"/>
        <v>8.3773690312063845E-2</v>
      </c>
      <c r="I151" s="60" t="str">
        <f>IF(VLOOKUP(B151,'[1]UT Rate Study HCBS Survey'!$B$6:$FG$139,133,0)=0,"",VLOOKUP(B151,'[1]UT Rate Study HCBS Survey'!$B$6:$FG$139,133,0))</f>
        <v/>
      </c>
      <c r="J151" s="60">
        <f>IF(VLOOKUP(B151,'[1]UT Rate Study HCBS Survey'!$B$6:$FG$139,131,0)=0,"",VLOOKUP(B151,'[1]UT Rate Study HCBS Survey'!$B$6:$FG$139,131,0))</f>
        <v>54083.25</v>
      </c>
      <c r="K151" s="60" t="str">
        <f>IF(VLOOKUP(B151,'[1]UT Rate Study HCBS Survey'!$B$6:$FG$139,134,0)=0,"",VLOOKUP(B151,'[1]UT Rate Study HCBS Survey'!$B$6:$FG$139,134,0))</f>
        <v/>
      </c>
      <c r="L151" s="60">
        <f>IF(VLOOKUP(B151,'[1]UT Rate Study HCBS Survey'!$B$6:$FG$139,135,0)=0,"",VLOOKUP(B151,'[1]UT Rate Study HCBS Survey'!$B$6:$FG$139,135,0))</f>
        <v>561.29999999999995</v>
      </c>
      <c r="M151" s="37">
        <f t="shared" si="26"/>
        <v>14.834872621839979</v>
      </c>
      <c r="N151" s="60">
        <f>IF(VLOOKUP(B151,'[1]UT Rate Study HCBS Survey'!$B$6:$FG$139,138,0)=0,"",VLOOKUP(B151,'[1]UT Rate Study HCBS Survey'!$B$6:$FG$139,138,0))</f>
        <v>1277343.49</v>
      </c>
      <c r="O151" s="60">
        <f>IF(VLOOKUP(B151,'[1]UT Rate Study HCBS Survey'!$B$6:$FG$139,141,0)=0,"",VLOOKUP(B151,'[1]UT Rate Study HCBS Survey'!$B$6:$FG$139,141,0))</f>
        <v>244941.61</v>
      </c>
      <c r="P151" s="37">
        <f t="shared" si="27"/>
        <v>0.19175860832860234</v>
      </c>
      <c r="Q151" s="36">
        <f t="shared" si="28"/>
        <v>1929.8536173232153</v>
      </c>
      <c r="R151" s="9" t="s">
        <v>357</v>
      </c>
      <c r="S151" s="9" t="s">
        <v>367</v>
      </c>
    </row>
    <row r="152" spans="1:19" x14ac:dyDescent="0.25">
      <c r="A152" s="43" t="s">
        <v>365</v>
      </c>
      <c r="B152" s="43" t="s">
        <v>179</v>
      </c>
      <c r="C152" s="60" t="str">
        <f>IF(VLOOKUP(B152,'[1]UT Rate Study HCBS Survey'!$B$6:$FG$139,129,0)=0,"",VLOOKUP(B152,'[1]UT Rate Study HCBS Survey'!$B$6:$FG$139,129,0))</f>
        <v/>
      </c>
      <c r="D152" s="61" t="str">
        <f>IF(VLOOKUP(B152,'[1]UT Rate Study HCBS Survey'!$B$6:$FG$139,130,0)=0,"",VLOOKUP(B152,'[1]UT Rate Study HCBS Survey'!$B$6:$FG$139,130,0))</f>
        <v/>
      </c>
      <c r="E152" s="36" t="str">
        <f t="shared" si="24"/>
        <v/>
      </c>
      <c r="F152" s="60">
        <f>IF(VLOOKUP(B152,'[1]UT Rate Study HCBS Survey'!$B$6:$FG$139,140,0)=0,"",VLOOKUP(B152,'[1]UT Rate Study HCBS Survey'!$B$6:$FG$139,140,0))</f>
        <v>27466</v>
      </c>
      <c r="G152" s="60">
        <f>IF(VLOOKUP(B152,'[1]UT Rate Study HCBS Survey'!$B$6:$FG$139,139,0)=0,"",VLOOKUP(B152,'[1]UT Rate Study HCBS Survey'!$B$6:$FG$139,139,0))</f>
        <v>240529</v>
      </c>
      <c r="H152" s="37">
        <f t="shared" si="25"/>
        <v>0.11418997293465653</v>
      </c>
      <c r="I152" s="60" t="str">
        <f>IF(VLOOKUP(B152,'[1]UT Rate Study HCBS Survey'!$B$6:$FG$139,133,0)=0,"",VLOOKUP(B152,'[1]UT Rate Study HCBS Survey'!$B$6:$FG$139,133,0))</f>
        <v/>
      </c>
      <c r="J152" s="60" t="str">
        <f>IF(VLOOKUP(B152,'[1]UT Rate Study HCBS Survey'!$B$6:$FG$139,131,0)=0,"",VLOOKUP(B152,'[1]UT Rate Study HCBS Survey'!$B$6:$FG$139,131,0))</f>
        <v/>
      </c>
      <c r="K152" s="60" t="str">
        <f>IF(VLOOKUP(B152,'[1]UT Rate Study HCBS Survey'!$B$6:$FG$139,134,0)=0,"",VLOOKUP(B152,'[1]UT Rate Study HCBS Survey'!$B$6:$FG$139,134,0))</f>
        <v/>
      </c>
      <c r="L152" s="60" t="str">
        <f>IF(VLOOKUP(B152,'[1]UT Rate Study HCBS Survey'!$B$6:$FG$139,135,0)=0,"",VLOOKUP(B152,'[1]UT Rate Study HCBS Survey'!$B$6:$FG$139,135,0))</f>
        <v/>
      </c>
      <c r="M152" s="37" t="str">
        <f t="shared" si="26"/>
        <v/>
      </c>
      <c r="N152" s="60">
        <f>IF(VLOOKUP(B152,'[1]UT Rate Study HCBS Survey'!$B$6:$FG$139,138,0)=0,"",VLOOKUP(B152,'[1]UT Rate Study HCBS Survey'!$B$6:$FG$139,138,0))</f>
        <v>511632</v>
      </c>
      <c r="O152" s="60">
        <f>IF(VLOOKUP(B152,'[1]UT Rate Study HCBS Survey'!$B$6:$FG$139,141,0)=0,"",VLOOKUP(B152,'[1]UT Rate Study HCBS Survey'!$B$6:$FG$139,141,0))</f>
        <v>147999</v>
      </c>
      <c r="P152" s="37">
        <f t="shared" si="27"/>
        <v>0.28926845857960409</v>
      </c>
      <c r="Q152" s="36" t="str">
        <f t="shared" si="28"/>
        <v/>
      </c>
      <c r="R152" s="9" t="s">
        <v>357</v>
      </c>
      <c r="S152" s="9" t="s">
        <v>358</v>
      </c>
    </row>
    <row r="153" spans="1:19" x14ac:dyDescent="0.25">
      <c r="A153" s="43" t="s">
        <v>365</v>
      </c>
      <c r="B153" s="43" t="s">
        <v>180</v>
      </c>
      <c r="C153" s="60" t="str">
        <f>IF(VLOOKUP(B153,'[1]UT Rate Study HCBS Survey'!$B$6:$FG$139,129,0)=0,"",VLOOKUP(B153,'[1]UT Rate Study HCBS Survey'!$B$6:$FG$139,129,0))</f>
        <v/>
      </c>
      <c r="D153" s="61" t="str">
        <f>IF(VLOOKUP(B153,'[1]UT Rate Study HCBS Survey'!$B$6:$FG$139,130,0)=0,"",VLOOKUP(B153,'[1]UT Rate Study HCBS Survey'!$B$6:$FG$139,130,0))</f>
        <v/>
      </c>
      <c r="E153" s="36" t="str">
        <f t="shared" si="24"/>
        <v/>
      </c>
      <c r="F153" s="60" t="str">
        <f>IF(VLOOKUP(B153,'[1]UT Rate Study HCBS Survey'!$B$6:$FG$139,140,0)=0,"",VLOOKUP(B153,'[1]UT Rate Study HCBS Survey'!$B$6:$FG$139,140,0))</f>
        <v/>
      </c>
      <c r="G153" s="60" t="str">
        <f>IF(VLOOKUP(B153,'[1]UT Rate Study HCBS Survey'!$B$6:$FG$139,139,0)=0,"",VLOOKUP(B153,'[1]UT Rate Study HCBS Survey'!$B$6:$FG$139,139,0))</f>
        <v/>
      </c>
      <c r="H153" s="37" t="str">
        <f t="shared" si="25"/>
        <v/>
      </c>
      <c r="I153" s="60" t="str">
        <f>IF(VLOOKUP(B153,'[1]UT Rate Study HCBS Survey'!$B$6:$FG$139,133,0)=0,"",VLOOKUP(B153,'[1]UT Rate Study HCBS Survey'!$B$6:$FG$139,133,0))</f>
        <v/>
      </c>
      <c r="J153" s="60" t="str">
        <f>IF(VLOOKUP(B153,'[1]UT Rate Study HCBS Survey'!$B$6:$FG$139,131,0)=0,"",VLOOKUP(B153,'[1]UT Rate Study HCBS Survey'!$B$6:$FG$139,131,0))</f>
        <v/>
      </c>
      <c r="K153" s="60" t="str">
        <f>IF(VLOOKUP(B153,'[1]UT Rate Study HCBS Survey'!$B$6:$FG$139,134,0)=0,"",VLOOKUP(B153,'[1]UT Rate Study HCBS Survey'!$B$6:$FG$139,134,0))</f>
        <v/>
      </c>
      <c r="L153" s="60" t="str">
        <f>IF(VLOOKUP(B153,'[1]UT Rate Study HCBS Survey'!$B$6:$FG$139,135,0)=0,"",VLOOKUP(B153,'[1]UT Rate Study HCBS Survey'!$B$6:$FG$139,135,0))</f>
        <v/>
      </c>
      <c r="M153" s="37" t="str">
        <f t="shared" si="26"/>
        <v/>
      </c>
      <c r="N153" s="60" t="str">
        <f>IF(VLOOKUP(B153,'[1]UT Rate Study HCBS Survey'!$B$6:$FG$139,138,0)=0,"",VLOOKUP(B153,'[1]UT Rate Study HCBS Survey'!$B$6:$FG$139,138,0))</f>
        <v/>
      </c>
      <c r="O153" s="60" t="str">
        <f>IF(VLOOKUP(B153,'[1]UT Rate Study HCBS Survey'!$B$6:$FG$139,141,0)=0,"",VLOOKUP(B153,'[1]UT Rate Study HCBS Survey'!$B$6:$FG$139,141,0))</f>
        <v/>
      </c>
      <c r="P153" s="37" t="str">
        <f t="shared" si="27"/>
        <v/>
      </c>
      <c r="Q153" s="36" t="str">
        <f t="shared" si="28"/>
        <v/>
      </c>
      <c r="R153" s="9" t="s">
        <v>357</v>
      </c>
      <c r="S153" s="9" t="s">
        <v>356</v>
      </c>
    </row>
    <row r="154" spans="1:19" x14ac:dyDescent="0.25">
      <c r="A154" s="43" t="s">
        <v>365</v>
      </c>
      <c r="B154" s="43" t="s">
        <v>181</v>
      </c>
      <c r="C154" s="60" t="str">
        <f>IF(VLOOKUP(B154,'[1]UT Rate Study HCBS Survey'!$B$6:$FG$139,129,0)=0,"",VLOOKUP(B154,'[1]UT Rate Study HCBS Survey'!$B$6:$FG$139,129,0))</f>
        <v/>
      </c>
      <c r="D154" s="61" t="str">
        <f>IF(VLOOKUP(B154,'[1]UT Rate Study HCBS Survey'!$B$6:$FG$139,130,0)=0,"",VLOOKUP(B154,'[1]UT Rate Study HCBS Survey'!$B$6:$FG$139,130,0))</f>
        <v/>
      </c>
      <c r="E154" s="36" t="str">
        <f t="shared" si="24"/>
        <v/>
      </c>
      <c r="F154" s="60" t="str">
        <f>IF(VLOOKUP(B154,'[1]UT Rate Study HCBS Survey'!$B$6:$FG$139,140,0)=0,"",VLOOKUP(B154,'[1]UT Rate Study HCBS Survey'!$B$6:$FG$139,140,0))</f>
        <v/>
      </c>
      <c r="G154" s="60" t="str">
        <f>IF(VLOOKUP(B154,'[1]UT Rate Study HCBS Survey'!$B$6:$FG$139,139,0)=0,"",VLOOKUP(B154,'[1]UT Rate Study HCBS Survey'!$B$6:$FG$139,139,0))</f>
        <v/>
      </c>
      <c r="H154" s="37" t="str">
        <f t="shared" si="25"/>
        <v/>
      </c>
      <c r="I154" s="60" t="str">
        <f>IF(VLOOKUP(B154,'[1]UT Rate Study HCBS Survey'!$B$6:$FG$139,133,0)=0,"",VLOOKUP(B154,'[1]UT Rate Study HCBS Survey'!$B$6:$FG$139,133,0))</f>
        <v/>
      </c>
      <c r="J154" s="60" t="str">
        <f>IF(VLOOKUP(B154,'[1]UT Rate Study HCBS Survey'!$B$6:$FG$139,131,0)=0,"",VLOOKUP(B154,'[1]UT Rate Study HCBS Survey'!$B$6:$FG$139,131,0))</f>
        <v/>
      </c>
      <c r="K154" s="60" t="str">
        <f>IF(VLOOKUP(B154,'[1]UT Rate Study HCBS Survey'!$B$6:$FG$139,134,0)=0,"",VLOOKUP(B154,'[1]UT Rate Study HCBS Survey'!$B$6:$FG$139,134,0))</f>
        <v/>
      </c>
      <c r="L154" s="60" t="str">
        <f>IF(VLOOKUP(B154,'[1]UT Rate Study HCBS Survey'!$B$6:$FG$139,135,0)=0,"",VLOOKUP(B154,'[1]UT Rate Study HCBS Survey'!$B$6:$FG$139,135,0))</f>
        <v/>
      </c>
      <c r="M154" s="37" t="str">
        <f t="shared" si="26"/>
        <v/>
      </c>
      <c r="N154" s="60" t="str">
        <f>IF(VLOOKUP(B154,'[1]UT Rate Study HCBS Survey'!$B$6:$FG$139,138,0)=0,"",VLOOKUP(B154,'[1]UT Rate Study HCBS Survey'!$B$6:$FG$139,138,0))</f>
        <v/>
      </c>
      <c r="O154" s="60" t="str">
        <f>IF(VLOOKUP(B154,'[1]UT Rate Study HCBS Survey'!$B$6:$FG$139,141,0)=0,"",VLOOKUP(B154,'[1]UT Rate Study HCBS Survey'!$B$6:$FG$139,141,0))</f>
        <v/>
      </c>
      <c r="P154" s="37" t="str">
        <f t="shared" si="27"/>
        <v/>
      </c>
      <c r="Q154" s="36" t="str">
        <f t="shared" si="28"/>
        <v/>
      </c>
      <c r="R154" s="9" t="s">
        <v>357</v>
      </c>
      <c r="S154" s="9" t="s">
        <v>356</v>
      </c>
    </row>
    <row r="155" spans="1:19" x14ac:dyDescent="0.25">
      <c r="A155" s="43" t="s">
        <v>365</v>
      </c>
      <c r="B155" s="43" t="s">
        <v>193</v>
      </c>
      <c r="C155" s="60">
        <f>IF(VLOOKUP(B155,'[1]UT Rate Study HCBS Survey'!$B$6:$FG$139,129,0)=0,"",VLOOKUP(B155,'[1]UT Rate Study HCBS Survey'!$B$6:$FG$139,129,0))</f>
        <v>125066.25</v>
      </c>
      <c r="D155" s="61" t="str">
        <f>IF(VLOOKUP(B155,'[1]UT Rate Study HCBS Survey'!$B$6:$FG$139,130,0)=0,"",VLOOKUP(B155,'[1]UT Rate Study HCBS Survey'!$B$6:$FG$139,130,0))</f>
        <v/>
      </c>
      <c r="E155" s="36" t="str">
        <f t="shared" si="24"/>
        <v/>
      </c>
      <c r="F155" s="60" t="str">
        <f>IF(VLOOKUP(B155,'[1]UT Rate Study HCBS Survey'!$B$6:$FG$139,140,0)=0,"",VLOOKUP(B155,'[1]UT Rate Study HCBS Survey'!$B$6:$FG$139,140,0))</f>
        <v/>
      </c>
      <c r="G155" s="60">
        <f>IF(VLOOKUP(B155,'[1]UT Rate Study HCBS Survey'!$B$6:$FG$139,139,0)=0,"",VLOOKUP(B155,'[1]UT Rate Study HCBS Survey'!$B$6:$FG$139,139,0))</f>
        <v>207169</v>
      </c>
      <c r="H155" s="37" t="str">
        <f t="shared" si="25"/>
        <v/>
      </c>
      <c r="I155" s="60" t="str">
        <f>IF(VLOOKUP(B155,'[1]UT Rate Study HCBS Survey'!$B$6:$FG$139,133,0)=0,"",VLOOKUP(B155,'[1]UT Rate Study HCBS Survey'!$B$6:$FG$139,133,0))</f>
        <v/>
      </c>
      <c r="J155" s="60">
        <f>IF(VLOOKUP(B155,'[1]UT Rate Study HCBS Survey'!$B$6:$FG$139,131,0)=0,"",VLOOKUP(B155,'[1]UT Rate Study HCBS Survey'!$B$6:$FG$139,131,0))</f>
        <v>82103</v>
      </c>
      <c r="K155" s="60">
        <f>IF(VLOOKUP(B155,'[1]UT Rate Study HCBS Survey'!$B$6:$FG$139,134,0)=0,"",VLOOKUP(B155,'[1]UT Rate Study HCBS Survey'!$B$6:$FG$139,134,0))</f>
        <v>13926.62</v>
      </c>
      <c r="L155" s="60" t="str">
        <f>IF(VLOOKUP(B155,'[1]UT Rate Study HCBS Survey'!$B$6:$FG$139,135,0)=0,"",VLOOKUP(B155,'[1]UT Rate Study HCBS Survey'!$B$6:$FG$139,135,0))</f>
        <v/>
      </c>
      <c r="M155" s="37">
        <f t="shared" si="26"/>
        <v>0.7678300100946498</v>
      </c>
      <c r="N155" s="60">
        <f>IF(VLOOKUP(B155,'[1]UT Rate Study HCBS Survey'!$B$6:$FG$139,138,0)=0,"",VLOOKUP(B155,'[1]UT Rate Study HCBS Survey'!$B$6:$FG$139,138,0))</f>
        <v>377437.54</v>
      </c>
      <c r="O155" s="60">
        <f>IF(VLOOKUP(B155,'[1]UT Rate Study HCBS Survey'!$B$6:$FG$139,141,0)=0,"",VLOOKUP(B155,'[1]UT Rate Study HCBS Survey'!$B$6:$FG$139,141,0))</f>
        <v>114660.97</v>
      </c>
      <c r="P155" s="37">
        <f t="shared" si="27"/>
        <v>0.3037879327000701</v>
      </c>
      <c r="Q155" s="36" t="str">
        <f t="shared" si="28"/>
        <v/>
      </c>
      <c r="R155" s="9" t="s">
        <v>357</v>
      </c>
      <c r="S155" s="9" t="s">
        <v>358</v>
      </c>
    </row>
    <row r="156" spans="1:19" x14ac:dyDescent="0.25">
      <c r="A156" s="43" t="s">
        <v>365</v>
      </c>
      <c r="B156" s="43" t="s">
        <v>98</v>
      </c>
      <c r="C156" s="60">
        <f>IF(VLOOKUP(B156,'[1]UT Rate Study HCBS Survey'!$B$6:$FG$139,129,0)=0,"",VLOOKUP(B156,'[1]UT Rate Study HCBS Survey'!$B$6:$FG$139,129,0))</f>
        <v>323175.37</v>
      </c>
      <c r="D156" s="61" t="str">
        <f>IF(VLOOKUP(B156,'[1]UT Rate Study HCBS Survey'!$B$6:$FG$139,130,0)=0,"",VLOOKUP(B156,'[1]UT Rate Study HCBS Survey'!$B$6:$FG$139,130,0))</f>
        <v/>
      </c>
      <c r="E156" s="36" t="str">
        <f t="shared" si="24"/>
        <v/>
      </c>
      <c r="F156" s="60">
        <f>IF(VLOOKUP(B156,'[1]UT Rate Study HCBS Survey'!$B$6:$FG$139,140,0)=0,"",VLOOKUP(B156,'[1]UT Rate Study HCBS Survey'!$B$6:$FG$139,140,0))</f>
        <v>18154.669999999998</v>
      </c>
      <c r="G156" s="60">
        <f>IF(VLOOKUP(B156,'[1]UT Rate Study HCBS Survey'!$B$6:$FG$139,139,0)=0,"",VLOOKUP(B156,'[1]UT Rate Study HCBS Survey'!$B$6:$FG$139,139,0))</f>
        <v>380513.49</v>
      </c>
      <c r="H156" s="37">
        <f t="shared" si="25"/>
        <v>4.7710976028734219E-2</v>
      </c>
      <c r="I156" s="60" t="str">
        <f>IF(VLOOKUP(B156,'[1]UT Rate Study HCBS Survey'!$B$6:$FG$139,133,0)=0,"",VLOOKUP(B156,'[1]UT Rate Study HCBS Survey'!$B$6:$FG$139,133,0))</f>
        <v/>
      </c>
      <c r="J156" s="60" t="str">
        <f>IF(VLOOKUP(B156,'[1]UT Rate Study HCBS Survey'!$B$6:$FG$139,131,0)=0,"",VLOOKUP(B156,'[1]UT Rate Study HCBS Survey'!$B$6:$FG$139,131,0))</f>
        <v/>
      </c>
      <c r="K156" s="60">
        <f>IF(VLOOKUP(B156,'[1]UT Rate Study HCBS Survey'!$B$6:$FG$139,134,0)=0,"",VLOOKUP(B156,'[1]UT Rate Study HCBS Survey'!$B$6:$FG$139,134,0))</f>
        <v>162</v>
      </c>
      <c r="L156" s="60">
        <f>IF(VLOOKUP(B156,'[1]UT Rate Study HCBS Survey'!$B$6:$FG$139,135,0)=0,"",VLOOKUP(B156,'[1]UT Rate Study HCBS Survey'!$B$6:$FG$139,135,0))</f>
        <v>5740.34</v>
      </c>
      <c r="M156" s="37">
        <f t="shared" si="26"/>
        <v>1.8263582401096965E-2</v>
      </c>
      <c r="N156" s="60">
        <f>IF(VLOOKUP(B156,'[1]UT Rate Study HCBS Survey'!$B$6:$FG$139,138,0)=0,"",VLOOKUP(B156,'[1]UT Rate Study HCBS Survey'!$B$6:$FG$139,138,0))</f>
        <v>536289.6</v>
      </c>
      <c r="O156" s="60">
        <f>IF(VLOOKUP(B156,'[1]UT Rate Study HCBS Survey'!$B$6:$FG$139,141,0)=0,"",VLOOKUP(B156,'[1]UT Rate Study HCBS Survey'!$B$6:$FG$139,141,0))</f>
        <v>148533.42000000001</v>
      </c>
      <c r="P156" s="37">
        <f t="shared" si="27"/>
        <v>0.27696494580540071</v>
      </c>
      <c r="Q156" s="36" t="str">
        <f t="shared" si="28"/>
        <v/>
      </c>
      <c r="R156" s="9" t="s">
        <v>357</v>
      </c>
      <c r="S156" s="9" t="s">
        <v>358</v>
      </c>
    </row>
  </sheetData>
  <autoFilter ref="A6:S126" xr:uid="{00000000-0009-0000-0000-000002000000}"/>
  <phoneticPr fontId="14" type="noConversion"/>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8"/>
  <sheetViews>
    <sheetView topLeftCell="C76" workbookViewId="0">
      <selection activeCell="Q91" sqref="Q91"/>
    </sheetView>
  </sheetViews>
  <sheetFormatPr defaultRowHeight="15" x14ac:dyDescent="0.25"/>
  <cols>
    <col min="1" max="1" width="16.7109375" customWidth="1"/>
    <col min="2" max="2" width="39.7109375" customWidth="1"/>
    <col min="3" max="3" width="14" bestFit="1" customWidth="1"/>
    <col min="4" max="4" width="12.42578125" customWidth="1"/>
    <col min="5" max="5" width="14.7109375" customWidth="1"/>
    <col min="6" max="6" width="15.28515625" customWidth="1"/>
    <col min="7" max="7" width="12.5703125" bestFit="1" customWidth="1"/>
    <col min="8" max="8" width="14.7109375" customWidth="1"/>
    <col min="9" max="10" width="11.5703125" bestFit="1" customWidth="1"/>
    <col min="11" max="11" width="16.42578125" customWidth="1"/>
    <col min="12" max="12" width="19" bestFit="1" customWidth="1"/>
    <col min="13" max="13" width="14.7109375" customWidth="1"/>
    <col min="14" max="14" width="13.7109375" bestFit="1" customWidth="1"/>
    <col min="15" max="15" width="14.28515625" bestFit="1" customWidth="1"/>
    <col min="16" max="16" width="14.7109375" customWidth="1"/>
    <col min="17" max="17" width="16.5703125" customWidth="1"/>
    <col min="18" max="18" width="27" customWidth="1"/>
  </cols>
  <sheetData>
    <row r="1" spans="1:17" x14ac:dyDescent="0.25">
      <c r="A1" s="24" t="str">
        <f>Cover!A1</f>
        <v>Utah Department of Health &amp; Human Services, Office of Reimbursement, Coordinated Care &amp; Audit</v>
      </c>
      <c r="B1" s="24"/>
    </row>
    <row r="2" spans="1:17" x14ac:dyDescent="0.25">
      <c r="A2" s="24" t="str">
        <f>Cover!A2</f>
        <v>Medicaid Rate Study</v>
      </c>
      <c r="B2" s="24"/>
    </row>
    <row r="3" spans="1:17" x14ac:dyDescent="0.25">
      <c r="A3" s="24" t="str">
        <f>Cover!A3&amp;"-3"</f>
        <v>2025 Home and Community Based Services (HCBS) - Exhibit A-3</v>
      </c>
      <c r="B3" s="24"/>
    </row>
    <row r="4" spans="1:17" x14ac:dyDescent="0.25">
      <c r="A4" t="s">
        <v>43</v>
      </c>
    </row>
    <row r="5" spans="1:17" x14ac:dyDescent="0.25">
      <c r="A5" t="s">
        <v>488</v>
      </c>
    </row>
    <row r="6" spans="1:17" ht="75.75" thickBot="1" x14ac:dyDescent="0.3">
      <c r="A6" s="6" t="s">
        <v>364</v>
      </c>
      <c r="B6" s="6" t="s">
        <v>30</v>
      </c>
      <c r="C6" s="6" t="s">
        <v>31</v>
      </c>
      <c r="D6" s="6" t="s">
        <v>32</v>
      </c>
      <c r="E6" s="35" t="s">
        <v>33</v>
      </c>
      <c r="F6" s="6" t="s">
        <v>37</v>
      </c>
      <c r="G6" s="6" t="s">
        <v>36</v>
      </c>
      <c r="H6" s="35" t="s">
        <v>44</v>
      </c>
      <c r="I6" s="6" t="s">
        <v>40</v>
      </c>
      <c r="J6" s="6" t="s">
        <v>39</v>
      </c>
      <c r="K6" s="6" t="s">
        <v>230</v>
      </c>
      <c r="L6" s="6" t="s">
        <v>41</v>
      </c>
      <c r="M6" s="35" t="s">
        <v>45</v>
      </c>
      <c r="N6" s="6" t="s">
        <v>34</v>
      </c>
      <c r="O6" s="6" t="s">
        <v>35</v>
      </c>
      <c r="P6" s="35" t="s">
        <v>46</v>
      </c>
      <c r="Q6" s="35" t="s">
        <v>372</v>
      </c>
    </row>
    <row r="7" spans="1:17" x14ac:dyDescent="0.25">
      <c r="A7" s="43" t="s">
        <v>365</v>
      </c>
      <c r="B7" s="43" t="s">
        <v>76</v>
      </c>
      <c r="C7" s="60">
        <f>'A-2 Identify Outlier-Exclusion'!C7</f>
        <v>1249149</v>
      </c>
      <c r="D7" s="61">
        <f>'A-2 Identify Outlier-Exclusion'!D7</f>
        <v>70750</v>
      </c>
      <c r="E7" s="36">
        <f>IF(IFERROR(C7/D7,0)=0,"",IFERROR(C7/D7,0))</f>
        <v>17.655816254416962</v>
      </c>
      <c r="F7" s="60">
        <f>'A-2 Identify Outlier-Exclusion'!F7</f>
        <v>304574</v>
      </c>
      <c r="G7" s="60">
        <f>'A-2 Identify Outlier-Exclusion'!G7</f>
        <v>1791989</v>
      </c>
      <c r="H7" s="37">
        <f>IF(OR('A-2 Identify Outlier-Exclusion'!H7="",'A-2 Identify Outlier-Exclusion'!H7&lt;0.5),'A-2 Identify Outlier-Exclusion'!H7,'A-2 Identify Outlier-Exclusion'!$H$126)</f>
        <v>0.16996421294996789</v>
      </c>
      <c r="I7" s="60" t="str">
        <f>'A-2 Identify Outlier-Exclusion'!I7</f>
        <v/>
      </c>
      <c r="J7" s="60">
        <f>'A-2 Identify Outlier-Exclusion'!J7</f>
        <v>184840</v>
      </c>
      <c r="K7" s="60">
        <f>'A-2 Identify Outlier-Exclusion'!K7</f>
        <v>48535</v>
      </c>
      <c r="L7" s="60">
        <f>'A-2 Identify Outlier-Exclusion'!L7</f>
        <v>665240</v>
      </c>
      <c r="M7" s="37">
        <f>IF(OR('A-2 Identify Outlier-Exclusion'!M7="",'A-2 Identify Outlier-Exclusion'!M7&lt;1.5),'A-2 Identify Outlier-Exclusion'!M7,'A-2 Identify Outlier-Exclusion'!$M$126)</f>
        <v>0.71938175509887126</v>
      </c>
      <c r="N7" s="60">
        <f>'A-2 Identify Outlier-Exclusion'!N7</f>
        <v>2971899</v>
      </c>
      <c r="O7" s="60">
        <f>'A-2 Identify Outlier-Exclusion'!O7</f>
        <v>502203</v>
      </c>
      <c r="P7" s="37">
        <f>IF(OR('A-2 Identify Outlier-Exclusion'!P7="",'A-2 Identify Outlier-Exclusion'!P7&lt;0.9),'A-2 Identify Outlier-Exclusion'!P7,'A-2 Identify Outlier-Exclusion'!$P$126)</f>
        <v>0.16898387192835287</v>
      </c>
      <c r="Q7" s="36">
        <f>IFERROR((E7+(E7*H7)+(E7*M7))/(1-P7),"")</f>
        <v>40.14115265163403</v>
      </c>
    </row>
    <row r="8" spans="1:17" x14ac:dyDescent="0.25">
      <c r="A8" s="43" t="s">
        <v>365</v>
      </c>
      <c r="B8" s="43" t="s">
        <v>77</v>
      </c>
      <c r="C8" s="60">
        <f>'A-2 Identify Outlier-Exclusion'!C8</f>
        <v>33377</v>
      </c>
      <c r="D8" s="61">
        <f>'A-2 Identify Outlier-Exclusion'!D8</f>
        <v>1947</v>
      </c>
      <c r="E8" s="36">
        <f t="shared" ref="E8:E70" si="0">IF(IFERROR(C8/D8,0)=0,"",IFERROR(C8/D8,0))</f>
        <v>17.142783769902415</v>
      </c>
      <c r="F8" s="60">
        <f>'A-2 Identify Outlier-Exclusion'!F8</f>
        <v>590380.93000000005</v>
      </c>
      <c r="G8" s="60">
        <f>'A-2 Identify Outlier-Exclusion'!G8</f>
        <v>2622631.85</v>
      </c>
      <c r="H8" s="37">
        <f>IF(OR('A-2 Identify Outlier-Exclusion'!H8="",'A-2 Identify Outlier-Exclusion'!H8&lt;0.5),'A-2 Identify Outlier-Exclusion'!H8,'A-2 Identify Outlier-Exclusion'!$H$126)</f>
        <v>0.2251101045691945</v>
      </c>
      <c r="I8" s="60" t="str">
        <f>'A-2 Identify Outlier-Exclusion'!I8</f>
        <v/>
      </c>
      <c r="J8" s="60">
        <f>'A-2 Identify Outlier-Exclusion'!J8</f>
        <v>63500</v>
      </c>
      <c r="K8" s="60" t="str">
        <f>'A-2 Identify Outlier-Exclusion'!K8</f>
        <v/>
      </c>
      <c r="L8" s="60" t="str">
        <f>'A-2 Identify Outlier-Exclusion'!L8</f>
        <v/>
      </c>
      <c r="M8" s="37">
        <f>IF(OR('A-2 Identify Outlier-Exclusion'!M8="",'A-2 Identify Outlier-Exclusion'!M8&lt;1.5),'A-2 Identify Outlier-Exclusion'!M8,'A-2 Identify Outlier-Exclusion'!$M$126)</f>
        <v>0.19010516950587109</v>
      </c>
      <c r="N8" s="60">
        <f>'A-2 Identify Outlier-Exclusion'!N8</f>
        <v>6370243.4900000002</v>
      </c>
      <c r="O8" s="60">
        <f>'A-2 Identify Outlier-Exclusion'!O8</f>
        <v>6370243.4900000002</v>
      </c>
      <c r="P8" s="37">
        <f>IF(OR('A-2 Identify Outlier-Exclusion'!P8="",'A-2 Identify Outlier-Exclusion'!P8&lt;0.9),'A-2 Identify Outlier-Exclusion'!P8,'A-2 Identify Outlier-Exclusion'!$P$126)</f>
        <v>0.17183647910687574</v>
      </c>
      <c r="Q8" s="36">
        <f t="shared" ref="Q8:Q70" si="1">IFERROR((E8+(E8*H8)+(E8*M8))/(1-P8),"")</f>
        <v>29.294612500159751</v>
      </c>
    </row>
    <row r="9" spans="1:17" x14ac:dyDescent="0.25">
      <c r="A9" s="43" t="s">
        <v>365</v>
      </c>
      <c r="B9" s="43" t="s">
        <v>78</v>
      </c>
      <c r="C9" s="60">
        <f>'A-2 Identify Outlier-Exclusion'!C9</f>
        <v>49918</v>
      </c>
      <c r="D9" s="61">
        <f>'A-2 Identify Outlier-Exclusion'!D9</f>
        <v>2603</v>
      </c>
      <c r="E9" s="36">
        <f t="shared" si="0"/>
        <v>19.17710334229735</v>
      </c>
      <c r="F9" s="60">
        <f>'A-2 Identify Outlier-Exclusion'!F9</f>
        <v>60523</v>
      </c>
      <c r="G9" s="60">
        <f>'A-2 Identify Outlier-Exclusion'!G9</f>
        <v>413536</v>
      </c>
      <c r="H9" s="37">
        <f>IF(OR('A-2 Identify Outlier-Exclusion'!H9="",'A-2 Identify Outlier-Exclusion'!H9&lt;0.5),'A-2 Identify Outlier-Exclusion'!H9,'A-2 Identify Outlier-Exclusion'!$H$126)</f>
        <v>0.14635485181459412</v>
      </c>
      <c r="I9" s="60">
        <f>'A-2 Identify Outlier-Exclusion'!I9</f>
        <v>538</v>
      </c>
      <c r="J9" s="60">
        <f>'A-2 Identify Outlier-Exclusion'!J9</f>
        <v>7700</v>
      </c>
      <c r="K9" s="60">
        <f>'A-2 Identify Outlier-Exclusion'!K9</f>
        <v>1617</v>
      </c>
      <c r="L9" s="60">
        <f>'A-2 Identify Outlier-Exclusion'!L9</f>
        <v>5107</v>
      </c>
      <c r="M9" s="37">
        <f>IF(OR('A-2 Identify Outlier-Exclusion'!M9="",'A-2 Identify Outlier-Exclusion'!M9&lt;1.5),'A-2 Identify Outlier-Exclusion'!M9,'A-2 Identify Outlier-Exclusion'!$M$126)</f>
        <v>0.28587283970191851</v>
      </c>
      <c r="N9" s="60">
        <f>'A-2 Identify Outlier-Exclusion'!N9</f>
        <v>701357</v>
      </c>
      <c r="O9" s="60">
        <f>'A-2 Identify Outlier-Exclusion'!O9</f>
        <v>51968</v>
      </c>
      <c r="P9" s="37">
        <f>IF(OR('A-2 Identify Outlier-Exclusion'!P9="",'A-2 Identify Outlier-Exclusion'!P9&lt;0.9),'A-2 Identify Outlier-Exclusion'!P9,'A-2 Identify Outlier-Exclusion'!$P$126)</f>
        <v>7.4096358915644964E-2</v>
      </c>
      <c r="Q9" s="36">
        <f t="shared" si="1"/>
        <v>29.663970667342721</v>
      </c>
    </row>
    <row r="10" spans="1:17" x14ac:dyDescent="0.25">
      <c r="A10" s="43" t="s">
        <v>365</v>
      </c>
      <c r="B10" s="43" t="s">
        <v>80</v>
      </c>
      <c r="C10" s="60">
        <f>'A-2 Identify Outlier-Exclusion'!C10</f>
        <v>870000</v>
      </c>
      <c r="D10" s="61">
        <f>'A-2 Identify Outlier-Exclusion'!D10</f>
        <v>30000</v>
      </c>
      <c r="E10" s="36">
        <f t="shared" si="0"/>
        <v>29</v>
      </c>
      <c r="F10" s="60">
        <f>'A-2 Identify Outlier-Exclusion'!F10</f>
        <v>228000</v>
      </c>
      <c r="G10" s="60">
        <f>'A-2 Identify Outlier-Exclusion'!G10</f>
        <v>1141000</v>
      </c>
      <c r="H10" s="37">
        <f>IF(OR('A-2 Identify Outlier-Exclusion'!H10="",'A-2 Identify Outlier-Exclusion'!H10&lt;0.5),'A-2 Identify Outlier-Exclusion'!H10,'A-2 Identify Outlier-Exclusion'!$H$126)</f>
        <v>0.19982471516213848</v>
      </c>
      <c r="I10" s="60" t="str">
        <f>'A-2 Identify Outlier-Exclusion'!I10</f>
        <v/>
      </c>
      <c r="J10" s="60">
        <f>'A-2 Identify Outlier-Exclusion'!J10</f>
        <v>100000</v>
      </c>
      <c r="K10" s="60">
        <f>'A-2 Identify Outlier-Exclusion'!K10</f>
        <v>50000</v>
      </c>
      <c r="L10" s="60">
        <f>'A-2 Identify Outlier-Exclusion'!L10</f>
        <v>400000</v>
      </c>
      <c r="M10" s="37">
        <f>IF(OR('A-2 Identify Outlier-Exclusion'!M10="",'A-2 Identify Outlier-Exclusion'!M10&lt;1.5),'A-2 Identify Outlier-Exclusion'!M10,'A-2 Identify Outlier-Exclusion'!$M$126)</f>
        <v>0.63218390804597702</v>
      </c>
      <c r="N10" s="60">
        <f>'A-2 Identify Outlier-Exclusion'!N10</f>
        <v>1454800</v>
      </c>
      <c r="O10" s="60">
        <f>'A-2 Identify Outlier-Exclusion'!O10</f>
        <v>85800</v>
      </c>
      <c r="P10" s="37">
        <f>IF(OR('A-2 Identify Outlier-Exclusion'!P10="",'A-2 Identify Outlier-Exclusion'!P10&lt;0.9),'A-2 Identify Outlier-Exclusion'!P10,'A-2 Identify Outlier-Exclusion'!$P$126)</f>
        <v>5.8977178993676105E-2</v>
      </c>
      <c r="Q10" s="36">
        <f t="shared" si="1"/>
        <v>56.457982619614192</v>
      </c>
    </row>
    <row r="11" spans="1:17" x14ac:dyDescent="0.25">
      <c r="A11" s="43" t="s">
        <v>365</v>
      </c>
      <c r="B11" s="43" t="s">
        <v>81</v>
      </c>
      <c r="C11" s="60">
        <f>'A-2 Identify Outlier-Exclusion'!C11</f>
        <v>370000</v>
      </c>
      <c r="D11" s="61">
        <f>'A-2 Identify Outlier-Exclusion'!D11</f>
        <v>20555</v>
      </c>
      <c r="E11" s="36">
        <f t="shared" si="0"/>
        <v>18.000486499635127</v>
      </c>
      <c r="F11" s="60">
        <f>'A-2 Identify Outlier-Exclusion'!F11</f>
        <v>140000</v>
      </c>
      <c r="G11" s="60">
        <f>'A-2 Identify Outlier-Exclusion'!G11</f>
        <v>461500</v>
      </c>
      <c r="H11" s="37">
        <f>IF(OR('A-2 Identify Outlier-Exclusion'!H11="",'A-2 Identify Outlier-Exclusion'!H11&lt;0.5),'A-2 Identify Outlier-Exclusion'!H11,'A-2 Identify Outlier-Exclusion'!$H$126)</f>
        <v>0.30335861321776814</v>
      </c>
      <c r="I11" s="60" t="str">
        <f>'A-2 Identify Outlier-Exclusion'!I11</f>
        <v/>
      </c>
      <c r="J11" s="60">
        <f>'A-2 Identify Outlier-Exclusion'!J11</f>
        <v>130000</v>
      </c>
      <c r="K11" s="60" t="str">
        <f>'A-2 Identify Outlier-Exclusion'!K11</f>
        <v/>
      </c>
      <c r="L11" s="60" t="str">
        <f>'A-2 Identify Outlier-Exclusion'!L11</f>
        <v/>
      </c>
      <c r="M11" s="37">
        <f>IF(OR('A-2 Identify Outlier-Exclusion'!M11="",'A-2 Identify Outlier-Exclusion'!M11&lt;1.5),'A-2 Identify Outlier-Exclusion'!M11,'A-2 Identify Outlier-Exclusion'!$M$126)</f>
        <v>0.35135135135135137</v>
      </c>
      <c r="N11" s="60">
        <f>'A-2 Identify Outlier-Exclusion'!N11</f>
        <v>843000</v>
      </c>
      <c r="O11" s="60">
        <f>'A-2 Identify Outlier-Exclusion'!O11</f>
        <v>97000</v>
      </c>
      <c r="P11" s="37">
        <f>IF(OR('A-2 Identify Outlier-Exclusion'!P11="",'A-2 Identify Outlier-Exclusion'!P11&lt;0.9),'A-2 Identify Outlier-Exclusion'!P11,'A-2 Identify Outlier-Exclusion'!$P$126)</f>
        <v>0.11506524317912219</v>
      </c>
      <c r="Q11" s="36">
        <f t="shared" si="1"/>
        <v>33.658508888319254</v>
      </c>
    </row>
    <row r="12" spans="1:17" x14ac:dyDescent="0.25">
      <c r="A12" s="43" t="s">
        <v>365</v>
      </c>
      <c r="B12" s="43" t="s">
        <v>82</v>
      </c>
      <c r="C12" s="60">
        <f>'A-2 Identify Outlier-Exclusion'!C12</f>
        <v>524272.56</v>
      </c>
      <c r="D12" s="61">
        <f>'A-2 Identify Outlier-Exclusion'!D12</f>
        <v>28895.01</v>
      </c>
      <c r="E12" s="36">
        <f t="shared" si="0"/>
        <v>18.144051862241959</v>
      </c>
      <c r="F12" s="60">
        <f>'A-2 Identify Outlier-Exclusion'!F12</f>
        <v>48206.79</v>
      </c>
      <c r="G12" s="60">
        <f>'A-2 Identify Outlier-Exclusion'!G12</f>
        <v>589272.48</v>
      </c>
      <c r="H12" s="37">
        <f>IF(OR('A-2 Identify Outlier-Exclusion'!H12="",'A-2 Identify Outlier-Exclusion'!H12&lt;0.5),'A-2 Identify Outlier-Exclusion'!H12,'A-2 Identify Outlier-Exclusion'!$H$126)</f>
        <v>8.1807299061378194E-2</v>
      </c>
      <c r="I12" s="60" t="str">
        <f>'A-2 Identify Outlier-Exclusion'!I12</f>
        <v/>
      </c>
      <c r="J12" s="60" t="str">
        <f>'A-2 Identify Outlier-Exclusion'!J12</f>
        <v/>
      </c>
      <c r="K12" s="60">
        <f>'A-2 Identify Outlier-Exclusion'!K12</f>
        <v>6000</v>
      </c>
      <c r="L12" s="60" t="str">
        <f>'A-2 Identify Outlier-Exclusion'!L12</f>
        <v/>
      </c>
      <c r="M12" s="37">
        <f>IF(OR('A-2 Identify Outlier-Exclusion'!M12="",'A-2 Identify Outlier-Exclusion'!M12&lt;1.5),'A-2 Identify Outlier-Exclusion'!M12,'A-2 Identify Outlier-Exclusion'!$M$126)</f>
        <v>1.1444428829157109E-2</v>
      </c>
      <c r="N12" s="60">
        <f>'A-2 Identify Outlier-Exclusion'!N12</f>
        <v>1168974.28</v>
      </c>
      <c r="O12" s="60">
        <f>'A-2 Identify Outlier-Exclusion'!O12</f>
        <v>94549.61</v>
      </c>
      <c r="P12" s="37">
        <f>IF(OR('A-2 Identify Outlier-Exclusion'!P12="",'A-2 Identify Outlier-Exclusion'!P12&lt;0.9),'A-2 Identify Outlier-Exclusion'!P12,'A-2 Identify Outlier-Exclusion'!$P$126)</f>
        <v>8.0882540888752491E-2</v>
      </c>
      <c r="Q12" s="36">
        <f t="shared" si="1"/>
        <v>21.581589874826445</v>
      </c>
    </row>
    <row r="13" spans="1:17" x14ac:dyDescent="0.25">
      <c r="A13" s="43" t="s">
        <v>365</v>
      </c>
      <c r="B13" s="43" t="s">
        <v>84</v>
      </c>
      <c r="C13" s="60">
        <f>'A-2 Identify Outlier-Exclusion'!C13</f>
        <v>95000</v>
      </c>
      <c r="D13" s="61">
        <f>'A-2 Identify Outlier-Exclusion'!D13</f>
        <v>6333</v>
      </c>
      <c r="E13" s="36">
        <f t="shared" si="0"/>
        <v>15.000789515237644</v>
      </c>
      <c r="F13" s="60">
        <f>'A-2 Identify Outlier-Exclusion'!F13</f>
        <v>7718</v>
      </c>
      <c r="G13" s="60">
        <f>'A-2 Identify Outlier-Exclusion'!G13</f>
        <v>110000</v>
      </c>
      <c r="H13" s="37">
        <f>IF(OR('A-2 Identify Outlier-Exclusion'!H13="",'A-2 Identify Outlier-Exclusion'!H13&lt;0.5),'A-2 Identify Outlier-Exclusion'!H13,'A-2 Identify Outlier-Exclusion'!$H$126)</f>
        <v>7.0163636363636359E-2</v>
      </c>
      <c r="I13" s="60" t="str">
        <f>'A-2 Identify Outlier-Exclusion'!I13</f>
        <v/>
      </c>
      <c r="J13" s="60">
        <f>'A-2 Identify Outlier-Exclusion'!J13</f>
        <v>30860</v>
      </c>
      <c r="K13" s="60">
        <f>'A-2 Identify Outlier-Exclusion'!K13</f>
        <v>2500</v>
      </c>
      <c r="L13" s="60">
        <f>'A-2 Identify Outlier-Exclusion'!L13</f>
        <v>70000</v>
      </c>
      <c r="M13" s="37">
        <f>IF(OR('A-2 Identify Outlier-Exclusion'!M13="",'A-2 Identify Outlier-Exclusion'!M13&lt;1.5),'A-2 Identify Outlier-Exclusion'!M13,'A-2 Identify Outlier-Exclusion'!$M$126)</f>
        <v>1.0880000000000001</v>
      </c>
      <c r="N13" s="60">
        <f>'A-2 Identify Outlier-Exclusion'!N13</f>
        <v>258172</v>
      </c>
      <c r="O13" s="60">
        <f>'A-2 Identify Outlier-Exclusion'!O13</f>
        <v>19000</v>
      </c>
      <c r="P13" s="37">
        <f>IF(OR('A-2 Identify Outlier-Exclusion'!P13="",'A-2 Identify Outlier-Exclusion'!P13&lt;0.9),'A-2 Identify Outlier-Exclusion'!P13,'A-2 Identify Outlier-Exclusion'!$P$126)</f>
        <v>7.3594347954077127E-2</v>
      </c>
      <c r="Q13" s="36">
        <f t="shared" si="1"/>
        <v>34.945985462236756</v>
      </c>
    </row>
    <row r="14" spans="1:17" x14ac:dyDescent="0.25">
      <c r="A14" s="43" t="s">
        <v>365</v>
      </c>
      <c r="B14" s="43" t="s">
        <v>88</v>
      </c>
      <c r="C14" s="60">
        <f>'A-2 Identify Outlier-Exclusion'!C14</f>
        <v>38480</v>
      </c>
      <c r="D14" s="61">
        <f>'A-2 Identify Outlier-Exclusion'!D14</f>
        <v>2080</v>
      </c>
      <c r="E14" s="36">
        <f t="shared" si="0"/>
        <v>18.5</v>
      </c>
      <c r="F14" s="60">
        <f>'A-2 Identify Outlier-Exclusion'!F14</f>
        <v>400000</v>
      </c>
      <c r="G14" s="60">
        <f>'A-2 Identify Outlier-Exclusion'!G14</f>
        <v>2531607</v>
      </c>
      <c r="H14" s="37">
        <f>IF(OR('A-2 Identify Outlier-Exclusion'!H14="",'A-2 Identify Outlier-Exclusion'!H14&lt;0.5),'A-2 Identify Outlier-Exclusion'!H14,'A-2 Identify Outlier-Exclusion'!$H$126)</f>
        <v>0.15800240716667319</v>
      </c>
      <c r="I14" s="60" t="str">
        <f>'A-2 Identify Outlier-Exclusion'!I14</f>
        <v/>
      </c>
      <c r="J14" s="60">
        <f>'A-2 Identify Outlier-Exclusion'!J14</f>
        <v>4680</v>
      </c>
      <c r="K14" s="60" t="str">
        <f>'A-2 Identify Outlier-Exclusion'!K14</f>
        <v/>
      </c>
      <c r="L14" s="60">
        <f>'A-2 Identify Outlier-Exclusion'!L14</f>
        <v>7696</v>
      </c>
      <c r="M14" s="37">
        <f>IF(OR('A-2 Identify Outlier-Exclusion'!M14="",'A-2 Identify Outlier-Exclusion'!M14&lt;1.5),'A-2 Identify Outlier-Exclusion'!M14,'A-2 Identify Outlier-Exclusion'!$M$126)</f>
        <v>0.32162162162162161</v>
      </c>
      <c r="N14" s="60">
        <f>'A-2 Identify Outlier-Exclusion'!N14</f>
        <v>3028906</v>
      </c>
      <c r="O14" s="60">
        <f>'A-2 Identify Outlier-Exclusion'!O14</f>
        <v>326232</v>
      </c>
      <c r="P14" s="37">
        <f>IF(OR('A-2 Identify Outlier-Exclusion'!P14="",'A-2 Identify Outlier-Exclusion'!P14&lt;0.9),'A-2 Identify Outlier-Exclusion'!P14,'A-2 Identify Outlier-Exclusion'!$P$126)</f>
        <v>0.10770621471910981</v>
      </c>
      <c r="Q14" s="36">
        <f t="shared" si="1"/>
        <v>30.677165956015862</v>
      </c>
    </row>
    <row r="15" spans="1:17" x14ac:dyDescent="0.25">
      <c r="A15" s="43" t="s">
        <v>365</v>
      </c>
      <c r="B15" s="43" t="s">
        <v>90</v>
      </c>
      <c r="C15" s="60">
        <f>'A-2 Identify Outlier-Exclusion'!C15</f>
        <v>6757.5</v>
      </c>
      <c r="D15" s="61">
        <f>'A-2 Identify Outlier-Exclusion'!D15</f>
        <v>198.75</v>
      </c>
      <c r="E15" s="36">
        <f t="shared" si="0"/>
        <v>34</v>
      </c>
      <c r="F15" s="60">
        <f>'A-2 Identify Outlier-Exclusion'!F15</f>
        <v>109840</v>
      </c>
      <c r="G15" s="60">
        <f>'A-2 Identify Outlier-Exclusion'!G15</f>
        <v>1833540</v>
      </c>
      <c r="H15" s="37">
        <f>IF(OR('A-2 Identify Outlier-Exclusion'!H15="",'A-2 Identify Outlier-Exclusion'!H15&lt;0.5),'A-2 Identify Outlier-Exclusion'!H15,'A-2 Identify Outlier-Exclusion'!$H$126)</f>
        <v>5.9905974235631619E-2</v>
      </c>
      <c r="I15" s="60" t="str">
        <f>'A-2 Identify Outlier-Exclusion'!I15</f>
        <v/>
      </c>
      <c r="J15" s="60">
        <f>'A-2 Identify Outlier-Exclusion'!J15</f>
        <v>936</v>
      </c>
      <c r="K15" s="60" t="str">
        <f>'A-2 Identify Outlier-Exclusion'!K15</f>
        <v/>
      </c>
      <c r="L15" s="60" t="str">
        <f>'A-2 Identify Outlier-Exclusion'!L15</f>
        <v/>
      </c>
      <c r="M15" s="37">
        <f>IF(OR('A-2 Identify Outlier-Exclusion'!M15="",'A-2 Identify Outlier-Exclusion'!M15&lt;1.5),'A-2 Identify Outlier-Exclusion'!M15,'A-2 Identify Outlier-Exclusion'!$M$126)</f>
        <v>0.13851276359600445</v>
      </c>
      <c r="N15" s="60">
        <f>'A-2 Identify Outlier-Exclusion'!N15</f>
        <v>2505537</v>
      </c>
      <c r="O15" s="60">
        <f>'A-2 Identify Outlier-Exclusion'!O15</f>
        <v>166000</v>
      </c>
      <c r="P15" s="37">
        <f>IF(OR('A-2 Identify Outlier-Exclusion'!P15="",'A-2 Identify Outlier-Exclusion'!P15&lt;0.9),'A-2 Identify Outlier-Exclusion'!P15,'A-2 Identify Outlier-Exclusion'!$P$126)</f>
        <v>6.6253262274713967E-2</v>
      </c>
      <c r="Q15" s="36">
        <f t="shared" si="1"/>
        <v>43.637354156158153</v>
      </c>
    </row>
    <row r="16" spans="1:17" x14ac:dyDescent="0.25">
      <c r="A16" s="43" t="s">
        <v>365</v>
      </c>
      <c r="B16" s="43" t="s">
        <v>91</v>
      </c>
      <c r="C16" s="60">
        <f>'A-2 Identify Outlier-Exclusion'!C16</f>
        <v>282225</v>
      </c>
      <c r="D16" s="61">
        <f>'A-2 Identify Outlier-Exclusion'!D16</f>
        <v>9569</v>
      </c>
      <c r="E16" s="36">
        <f t="shared" si="0"/>
        <v>29.49367750026126</v>
      </c>
      <c r="F16" s="60">
        <f>'A-2 Identify Outlier-Exclusion'!F16</f>
        <v>35812</v>
      </c>
      <c r="G16" s="60">
        <f>'A-2 Identify Outlier-Exclusion'!G16</f>
        <v>693777</v>
      </c>
      <c r="H16" s="37">
        <f>IF(OR('A-2 Identify Outlier-Exclusion'!H16="",'A-2 Identify Outlier-Exclusion'!H16&lt;0.5),'A-2 Identify Outlier-Exclusion'!H16,'A-2 Identify Outlier-Exclusion'!$H$126)</f>
        <v>5.1618891949430437E-2</v>
      </c>
      <c r="I16" s="60">
        <f>'A-2 Identify Outlier-Exclusion'!I16</f>
        <v>121365</v>
      </c>
      <c r="J16" s="60">
        <f>'A-2 Identify Outlier-Exclusion'!J16</f>
        <v>269798</v>
      </c>
      <c r="K16" s="60">
        <f>'A-2 Identify Outlier-Exclusion'!K16</f>
        <v>19202</v>
      </c>
      <c r="L16" s="60">
        <f>'A-2 Identify Outlier-Exclusion'!L16</f>
        <v>98220</v>
      </c>
      <c r="M16" s="37">
        <f>IF(OR('A-2 Identify Outlier-Exclusion'!M16="",'A-2 Identify Outlier-Exclusion'!M16&lt;1.5),'A-2 Identify Outlier-Exclusion'!M16,'A-2 Identify Outlier-Exclusion'!$M$126)</f>
        <v>0.95943903466389158</v>
      </c>
      <c r="N16" s="60">
        <f>'A-2 Identify Outlier-Exclusion'!N16</f>
        <v>944881</v>
      </c>
      <c r="O16" s="60">
        <f>'A-2 Identify Outlier-Exclusion'!O16</f>
        <v>944881</v>
      </c>
      <c r="P16" s="37">
        <f>IF(OR('A-2 Identify Outlier-Exclusion'!P16="",'A-2 Identify Outlier-Exclusion'!P16&lt;0.9),'A-2 Identify Outlier-Exclusion'!P16,'A-2 Identify Outlier-Exclusion'!$P$126)</f>
        <v>0.17183647910687574</v>
      </c>
      <c r="Q16" s="36">
        <f t="shared" si="1"/>
        <v>71.620510231978557</v>
      </c>
    </row>
    <row r="17" spans="1:17" x14ac:dyDescent="0.25">
      <c r="A17" s="43" t="s">
        <v>365</v>
      </c>
      <c r="B17" s="43" t="s">
        <v>93</v>
      </c>
      <c r="C17" s="60">
        <f>'A-2 Identify Outlier-Exclusion'!C17</f>
        <v>9146225</v>
      </c>
      <c r="D17" s="61">
        <f>'A-2 Identify Outlier-Exclusion'!D17</f>
        <v>476620</v>
      </c>
      <c r="E17" s="36">
        <f t="shared" si="0"/>
        <v>19.189763333473206</v>
      </c>
      <c r="F17" s="60">
        <f>'A-2 Identify Outlier-Exclusion'!F17</f>
        <v>3479521</v>
      </c>
      <c r="G17" s="60">
        <f>'A-2 Identify Outlier-Exclusion'!G17</f>
        <v>14455119</v>
      </c>
      <c r="H17" s="37">
        <f>IF(OR('A-2 Identify Outlier-Exclusion'!H17="",'A-2 Identify Outlier-Exclusion'!H17&lt;0.5),'A-2 Identify Outlier-Exclusion'!H17,'A-2 Identify Outlier-Exclusion'!$H$126)</f>
        <v>0.24071202734477662</v>
      </c>
      <c r="I17" s="60">
        <f>'A-2 Identify Outlier-Exclusion'!I17</f>
        <v>114927</v>
      </c>
      <c r="J17" s="60">
        <f>'A-2 Identify Outlier-Exclusion'!J17</f>
        <v>3362770</v>
      </c>
      <c r="K17" s="60">
        <f>'A-2 Identify Outlier-Exclusion'!K17</f>
        <v>937463</v>
      </c>
      <c r="L17" s="60">
        <f>'A-2 Identify Outlier-Exclusion'!L17</f>
        <v>331138</v>
      </c>
      <c r="M17" s="37">
        <f>IF(OR('A-2 Identify Outlier-Exclusion'!M17="",'A-2 Identify Outlier-Exclusion'!M17&lt;1.5),'A-2 Identify Outlier-Exclusion'!M17,'A-2 Identify Outlier-Exclusion'!$M$126)</f>
        <v>0.50008584245242926</v>
      </c>
      <c r="N17" s="60">
        <f>'A-2 Identify Outlier-Exclusion'!N17</f>
        <v>22349356</v>
      </c>
      <c r="O17" s="60">
        <f>'A-2 Identify Outlier-Exclusion'!O17</f>
        <v>3149395</v>
      </c>
      <c r="P17" s="37">
        <f>IF(OR('A-2 Identify Outlier-Exclusion'!P17="",'A-2 Identify Outlier-Exclusion'!P17&lt;0.9),'A-2 Identify Outlier-Exclusion'!P17,'A-2 Identify Outlier-Exclusion'!$P$126)</f>
        <v>0.14091658837954885</v>
      </c>
      <c r="Q17" s="36">
        <f t="shared" si="1"/>
        <v>38.88504734343708</v>
      </c>
    </row>
    <row r="18" spans="1:17" x14ac:dyDescent="0.25">
      <c r="A18" s="43" t="s">
        <v>365</v>
      </c>
      <c r="B18" s="43" t="s">
        <v>94</v>
      </c>
      <c r="C18" s="60">
        <f>'A-2 Identify Outlier-Exclusion'!C18</f>
        <v>600044</v>
      </c>
      <c r="D18" s="61">
        <f>'A-2 Identify Outlier-Exclusion'!D18</f>
        <v>33628</v>
      </c>
      <c r="E18" s="36">
        <f t="shared" si="0"/>
        <v>17.843582728678481</v>
      </c>
      <c r="F18" s="60">
        <f>'A-2 Identify Outlier-Exclusion'!F18</f>
        <v>107969</v>
      </c>
      <c r="G18" s="60">
        <f>'A-2 Identify Outlier-Exclusion'!G18</f>
        <v>853321</v>
      </c>
      <c r="H18" s="37">
        <f>IF(OR('A-2 Identify Outlier-Exclusion'!H18="",'A-2 Identify Outlier-Exclusion'!H18&lt;0.5),'A-2 Identify Outlier-Exclusion'!H18,'A-2 Identify Outlier-Exclusion'!$H$126)</f>
        <v>0.12652800060000868</v>
      </c>
      <c r="I18" s="60">
        <f>'A-2 Identify Outlier-Exclusion'!I18</f>
        <v>77020</v>
      </c>
      <c r="J18" s="60">
        <f>'A-2 Identify Outlier-Exclusion'!J18</f>
        <v>73097</v>
      </c>
      <c r="K18" s="60">
        <f>'A-2 Identify Outlier-Exclusion'!K18</f>
        <v>447</v>
      </c>
      <c r="L18" s="60">
        <f>'A-2 Identify Outlier-Exclusion'!L18</f>
        <v>61994</v>
      </c>
      <c r="M18" s="37">
        <f>IF(OR('A-2 Identify Outlier-Exclusion'!M18="",'A-2 Identify Outlier-Exclusion'!M18&lt;1.5),'A-2 Identify Outlier-Exclusion'!M18,'A-2 Identify Outlier-Exclusion'!$M$126)</f>
        <v>0.2001849160492952</v>
      </c>
      <c r="N18" s="60">
        <f>'A-2 Identify Outlier-Exclusion'!N18</f>
        <v>1785138</v>
      </c>
      <c r="O18" s="60">
        <f>'A-2 Identify Outlier-Exclusion'!O18</f>
        <v>454129</v>
      </c>
      <c r="P18" s="37">
        <f>IF(OR('A-2 Identify Outlier-Exclusion'!P18="",'A-2 Identify Outlier-Exclusion'!P18&lt;0.9),'A-2 Identify Outlier-Exclusion'!P18,'A-2 Identify Outlier-Exclusion'!$P$126)</f>
        <v>0.25439433814080481</v>
      </c>
      <c r="Q18" s="36">
        <f t="shared" si="1"/>
        <v>31.750445170182719</v>
      </c>
    </row>
    <row r="19" spans="1:17" x14ac:dyDescent="0.25">
      <c r="A19" s="43" t="s">
        <v>365</v>
      </c>
      <c r="B19" s="43" t="s">
        <v>97</v>
      </c>
      <c r="C19" s="60">
        <f>'A-2 Identify Outlier-Exclusion'!C19</f>
        <v>763436.95</v>
      </c>
      <c r="D19" s="61">
        <f>'A-2 Identify Outlier-Exclusion'!D19</f>
        <v>42453.75</v>
      </c>
      <c r="E19" s="36">
        <f t="shared" si="0"/>
        <v>17.982791861731883</v>
      </c>
      <c r="F19" s="60" t="str">
        <f>'A-2 Identify Outlier-Exclusion'!F19</f>
        <v/>
      </c>
      <c r="G19" s="60" t="str">
        <f>'A-2 Identify Outlier-Exclusion'!G19</f>
        <v/>
      </c>
      <c r="H19" s="37" t="str">
        <f>IF(OR('A-2 Identify Outlier-Exclusion'!H19="",'A-2 Identify Outlier-Exclusion'!H19&lt;0.5),'A-2 Identify Outlier-Exclusion'!H19,'A-2 Identify Outlier-Exclusion'!$H$126)</f>
        <v/>
      </c>
      <c r="I19" s="60" t="str">
        <f>'A-2 Identify Outlier-Exclusion'!I19</f>
        <v/>
      </c>
      <c r="J19" s="60">
        <f>'A-2 Identify Outlier-Exclusion'!J19</f>
        <v>182500</v>
      </c>
      <c r="K19" s="60" t="str">
        <f>'A-2 Identify Outlier-Exclusion'!K19</f>
        <v/>
      </c>
      <c r="L19" s="60" t="str">
        <f>'A-2 Identify Outlier-Exclusion'!L19</f>
        <v/>
      </c>
      <c r="M19" s="37">
        <f>IF(OR('A-2 Identify Outlier-Exclusion'!M19="",'A-2 Identify Outlier-Exclusion'!M19&lt;1.5),'A-2 Identify Outlier-Exclusion'!M19,'A-2 Identify Outlier-Exclusion'!$M$126)</f>
        <v>0.23905052015100922</v>
      </c>
      <c r="N19" s="60" t="str">
        <f>'A-2 Identify Outlier-Exclusion'!N19</f>
        <v/>
      </c>
      <c r="O19" s="60" t="str">
        <f>'A-2 Identify Outlier-Exclusion'!O19</f>
        <v/>
      </c>
      <c r="P19" s="37" t="str">
        <f>IF(OR('A-2 Identify Outlier-Exclusion'!P19="",'A-2 Identify Outlier-Exclusion'!P19&lt;0.9),'A-2 Identify Outlier-Exclusion'!P19,'A-2 Identify Outlier-Exclusion'!$P$126)</f>
        <v/>
      </c>
      <c r="Q19" s="36">
        <f t="shared" ref="Q19:Q54" si="2">IFERROR(E19*(1+SUM(H19,M19,P19)),"")</f>
        <v>22.281587610046223</v>
      </c>
    </row>
    <row r="20" spans="1:17" x14ac:dyDescent="0.25">
      <c r="A20" s="43" t="s">
        <v>365</v>
      </c>
      <c r="B20" s="43" t="s">
        <v>99</v>
      </c>
      <c r="C20" s="60">
        <f>'A-2 Identify Outlier-Exclusion'!C20</f>
        <v>167172.29</v>
      </c>
      <c r="D20" s="61">
        <f>'A-2 Identify Outlier-Exclusion'!D20</f>
        <v>8859.5</v>
      </c>
      <c r="E20" s="36">
        <f t="shared" si="0"/>
        <v>18.869269146114341</v>
      </c>
      <c r="F20" s="60">
        <f>'A-2 Identify Outlier-Exclusion'!F20</f>
        <v>42965.79</v>
      </c>
      <c r="G20" s="60">
        <f>'A-2 Identify Outlier-Exclusion'!G20</f>
        <v>475498.28</v>
      </c>
      <c r="H20" s="37">
        <f>IF(OR('A-2 Identify Outlier-Exclusion'!H20="",'A-2 Identify Outlier-Exclusion'!H20&lt;0.5),'A-2 Identify Outlier-Exclusion'!H20,'A-2 Identify Outlier-Exclusion'!$H$126)</f>
        <v>9.035950666319971E-2</v>
      </c>
      <c r="I20" s="60" t="str">
        <f>'A-2 Identify Outlier-Exclusion'!I20</f>
        <v/>
      </c>
      <c r="J20" s="60">
        <f>'A-2 Identify Outlier-Exclusion'!J20</f>
        <v>30300</v>
      </c>
      <c r="K20" s="60" t="str">
        <f>'A-2 Identify Outlier-Exclusion'!K20</f>
        <v/>
      </c>
      <c r="L20" s="60" t="str">
        <f>'A-2 Identify Outlier-Exclusion'!L20</f>
        <v/>
      </c>
      <c r="M20" s="37">
        <f>IF(OR('A-2 Identify Outlier-Exclusion'!M20="",'A-2 Identify Outlier-Exclusion'!M20&lt;1.5),'A-2 Identify Outlier-Exclusion'!M20,'A-2 Identify Outlier-Exclusion'!$M$126)</f>
        <v>0.18125013421781802</v>
      </c>
      <c r="N20" s="60">
        <f>'A-2 Identify Outlier-Exclusion'!N20</f>
        <v>745325.51</v>
      </c>
      <c r="O20" s="60">
        <f>'A-2 Identify Outlier-Exclusion'!O20</f>
        <v>146694.84</v>
      </c>
      <c r="P20" s="37">
        <f>IF(OR('A-2 Identify Outlier-Exclusion'!P20="",'A-2 Identify Outlier-Exclusion'!P20&lt;0.9),'A-2 Identify Outlier-Exclusion'!P20,'A-2 Identify Outlier-Exclusion'!$P$126)</f>
        <v>0.19681982976807005</v>
      </c>
      <c r="Q20" s="36">
        <f t="shared" si="1"/>
        <v>29.874174502651144</v>
      </c>
    </row>
    <row r="21" spans="1:17" x14ac:dyDescent="0.25">
      <c r="A21" s="43" t="s">
        <v>365</v>
      </c>
      <c r="B21" s="43" t="s">
        <v>100</v>
      </c>
      <c r="C21" s="60">
        <f>'A-2 Identify Outlier-Exclusion'!C21</f>
        <v>495917</v>
      </c>
      <c r="D21" s="61">
        <f>'A-2 Identify Outlier-Exclusion'!D21</f>
        <v>26588</v>
      </c>
      <c r="E21" s="36">
        <f t="shared" si="0"/>
        <v>18.651910636377313</v>
      </c>
      <c r="F21" s="60">
        <f>'A-2 Identify Outlier-Exclusion'!F21</f>
        <v>69975</v>
      </c>
      <c r="G21" s="60">
        <f>'A-2 Identify Outlier-Exclusion'!G21</f>
        <v>593846</v>
      </c>
      <c r="H21" s="37">
        <f>IF(OR('A-2 Identify Outlier-Exclusion'!H21="",'A-2 Identify Outlier-Exclusion'!H21&lt;0.5),'A-2 Identify Outlier-Exclusion'!H21,'A-2 Identify Outlier-Exclusion'!$H$126)</f>
        <v>0.11783357974963206</v>
      </c>
      <c r="I21" s="60" t="str">
        <f>'A-2 Identify Outlier-Exclusion'!I21</f>
        <v/>
      </c>
      <c r="J21" s="60">
        <f>'A-2 Identify Outlier-Exclusion'!J21</f>
        <v>110683</v>
      </c>
      <c r="K21" s="60">
        <f>'A-2 Identify Outlier-Exclusion'!K21</f>
        <v>924</v>
      </c>
      <c r="L21" s="60">
        <f>'A-2 Identify Outlier-Exclusion'!L21</f>
        <v>66036</v>
      </c>
      <c r="M21" s="37">
        <f>IF(OR('A-2 Identify Outlier-Exclusion'!M21="",'A-2 Identify Outlier-Exclusion'!M21&lt;1.5),'A-2 Identify Outlier-Exclusion'!M21,'A-2 Identify Outlier-Exclusion'!$M$126)</f>
        <v>0.35821115226943218</v>
      </c>
      <c r="N21" s="60">
        <f>'A-2 Identify Outlier-Exclusion'!N21</f>
        <v>1109956</v>
      </c>
      <c r="O21" s="60">
        <f>'A-2 Identify Outlier-Exclusion'!O21</f>
        <v>285526</v>
      </c>
      <c r="P21" s="37">
        <f>IF(OR('A-2 Identify Outlier-Exclusion'!P21="",'A-2 Identify Outlier-Exclusion'!P21&lt;0.9),'A-2 Identify Outlier-Exclusion'!P21,'A-2 Identify Outlier-Exclusion'!$P$126)</f>
        <v>0.25724082756433586</v>
      </c>
      <c r="Q21" s="36">
        <f t="shared" si="1"/>
        <v>37.06592319369809</v>
      </c>
    </row>
    <row r="22" spans="1:17" x14ac:dyDescent="0.25">
      <c r="A22" s="43" t="s">
        <v>365</v>
      </c>
      <c r="B22" s="43" t="s">
        <v>101</v>
      </c>
      <c r="C22" s="60">
        <f>'A-2 Identify Outlier-Exclusion'!C22</f>
        <v>471957</v>
      </c>
      <c r="D22" s="61">
        <f>'A-2 Identify Outlier-Exclusion'!D22</f>
        <v>27830</v>
      </c>
      <c r="E22" s="36">
        <f t="shared" si="0"/>
        <v>16.958569888609414</v>
      </c>
      <c r="F22" s="60">
        <f>'A-2 Identify Outlier-Exclusion'!F22</f>
        <v>92972</v>
      </c>
      <c r="G22" s="60">
        <f>'A-2 Identify Outlier-Exclusion'!G22</f>
        <v>939840</v>
      </c>
      <c r="H22" s="37">
        <f>IF(OR('A-2 Identify Outlier-Exclusion'!H22="",'A-2 Identify Outlier-Exclusion'!H22&lt;0.5),'A-2 Identify Outlier-Exclusion'!H22,'A-2 Identify Outlier-Exclusion'!$H$126)</f>
        <v>9.8923220973782769E-2</v>
      </c>
      <c r="I22" s="60">
        <f>'A-2 Identify Outlier-Exclusion'!I22</f>
        <v>213827</v>
      </c>
      <c r="J22" s="60">
        <f>'A-2 Identify Outlier-Exclusion'!J22</f>
        <v>2598</v>
      </c>
      <c r="K22" s="60" t="str">
        <f>'A-2 Identify Outlier-Exclusion'!K22</f>
        <v/>
      </c>
      <c r="L22" s="60">
        <f>'A-2 Identify Outlier-Exclusion'!L22</f>
        <v>73864</v>
      </c>
      <c r="M22" s="37">
        <f>IF(OR('A-2 Identify Outlier-Exclusion'!M22="",'A-2 Identify Outlier-Exclusion'!M22&lt;1.5),'A-2 Identify Outlier-Exclusion'!M22,'A-2 Identify Outlier-Exclusion'!$M$126)</f>
        <v>0.11149574793229355</v>
      </c>
      <c r="N22" s="60">
        <f>'A-2 Identify Outlier-Exclusion'!N22</f>
        <v>2552064</v>
      </c>
      <c r="O22" s="60">
        <f>'A-2 Identify Outlier-Exclusion'!O22</f>
        <v>554697</v>
      </c>
      <c r="P22" s="37">
        <f>IF(OR('A-2 Identify Outlier-Exclusion'!P22="",'A-2 Identify Outlier-Exclusion'!P22&lt;0.9),'A-2 Identify Outlier-Exclusion'!P22,'A-2 Identify Outlier-Exclusion'!$P$126)</f>
        <v>0.21735230777911527</v>
      </c>
      <c r="Q22" s="36">
        <f t="shared" si="1"/>
        <v>26.227605195440816</v>
      </c>
    </row>
    <row r="23" spans="1:17" x14ac:dyDescent="0.25">
      <c r="A23" s="43" t="s">
        <v>365</v>
      </c>
      <c r="B23" s="43" t="s">
        <v>102</v>
      </c>
      <c r="C23" s="60">
        <f>'A-2 Identify Outlier-Exclusion'!C23</f>
        <v>564497</v>
      </c>
      <c r="D23" s="61">
        <f>'A-2 Identify Outlier-Exclusion'!D23</f>
        <v>28835</v>
      </c>
      <c r="E23" s="36">
        <f t="shared" si="0"/>
        <v>19.576799028957865</v>
      </c>
      <c r="F23" s="60">
        <f>'A-2 Identify Outlier-Exclusion'!F23</f>
        <v>109799</v>
      </c>
      <c r="G23" s="60">
        <f>'A-2 Identify Outlier-Exclusion'!G23</f>
        <v>740999</v>
      </c>
      <c r="H23" s="37">
        <f>IF(OR('A-2 Identify Outlier-Exclusion'!H23="",'A-2 Identify Outlier-Exclusion'!H23&lt;0.5),'A-2 Identify Outlier-Exclusion'!H23,'A-2 Identify Outlier-Exclusion'!$H$126)</f>
        <v>0.14817698809310134</v>
      </c>
      <c r="I23" s="60">
        <f>'A-2 Identify Outlier-Exclusion'!I23</f>
        <v>9163</v>
      </c>
      <c r="J23" s="60">
        <f>'A-2 Identify Outlier-Exclusion'!J23</f>
        <v>105234</v>
      </c>
      <c r="K23" s="60" t="str">
        <f>'A-2 Identify Outlier-Exclusion'!K23</f>
        <v/>
      </c>
      <c r="L23" s="60">
        <f>'A-2 Identify Outlier-Exclusion'!L23</f>
        <v>72291</v>
      </c>
      <c r="M23" s="37">
        <f>IF(OR('A-2 Identify Outlier-Exclusion'!M23="",'A-2 Identify Outlier-Exclusion'!M23&lt;1.5),'A-2 Identify Outlier-Exclusion'!M23,'A-2 Identify Outlier-Exclusion'!$M$126)</f>
        <v>0.30946030749921555</v>
      </c>
      <c r="N23" s="60">
        <f>'A-2 Identify Outlier-Exclusion'!N23</f>
        <v>2063367</v>
      </c>
      <c r="O23" s="60">
        <f>'A-2 Identify Outlier-Exclusion'!O23</f>
        <v>376421</v>
      </c>
      <c r="P23" s="37">
        <f>IF(OR('A-2 Identify Outlier-Exclusion'!P23="",'A-2 Identify Outlier-Exclusion'!P23&lt;0.9),'A-2 Identify Outlier-Exclusion'!P23,'A-2 Identify Outlier-Exclusion'!$P$126)</f>
        <v>0.1824304643817605</v>
      </c>
      <c r="Q23" s="36">
        <f t="shared" si="1"/>
        <v>34.903297089397832</v>
      </c>
    </row>
    <row r="24" spans="1:17" x14ac:dyDescent="0.25">
      <c r="A24" s="43" t="s">
        <v>365</v>
      </c>
      <c r="B24" s="43" t="s">
        <v>103</v>
      </c>
      <c r="C24" s="60">
        <f>'A-2 Identify Outlier-Exclusion'!C24</f>
        <v>490103</v>
      </c>
      <c r="D24" s="61">
        <f>'A-2 Identify Outlier-Exclusion'!D24</f>
        <v>21960</v>
      </c>
      <c r="E24" s="36">
        <f t="shared" si="0"/>
        <v>22.317987249544625</v>
      </c>
      <c r="F24" s="60">
        <f>'A-2 Identify Outlier-Exclusion'!F24</f>
        <v>117159</v>
      </c>
      <c r="G24" s="60">
        <f>'A-2 Identify Outlier-Exclusion'!G24</f>
        <v>776772</v>
      </c>
      <c r="H24" s="37">
        <f>IF(OR('A-2 Identify Outlier-Exclusion'!H24="",'A-2 Identify Outlier-Exclusion'!H24&lt;0.5),'A-2 Identify Outlier-Exclusion'!H24,'A-2 Identify Outlier-Exclusion'!$H$126)</f>
        <v>0.1508280422054348</v>
      </c>
      <c r="I24" s="60">
        <f>'A-2 Identify Outlier-Exclusion'!I24</f>
        <v>23162</v>
      </c>
      <c r="J24" s="60">
        <f>'A-2 Identify Outlier-Exclusion'!J24</f>
        <v>368091</v>
      </c>
      <c r="K24" s="60" t="str">
        <f>'A-2 Identify Outlier-Exclusion'!K24</f>
        <v/>
      </c>
      <c r="L24" s="60">
        <f>'A-2 Identify Outlier-Exclusion'!L24</f>
        <v>92289</v>
      </c>
      <c r="M24" s="37">
        <f>IF(OR('A-2 Identify Outlier-Exclusion'!M24="",'A-2 Identify Outlier-Exclusion'!M24&lt;1.5),'A-2 Identify Outlier-Exclusion'!M24,'A-2 Identify Outlier-Exclusion'!$M$126)</f>
        <v>0.89696355683711149</v>
      </c>
      <c r="N24" s="60">
        <f>'A-2 Identify Outlier-Exclusion'!N24</f>
        <v>1577906</v>
      </c>
      <c r="O24" s="60">
        <f>'A-2 Identify Outlier-Exclusion'!O24</f>
        <v>399775</v>
      </c>
      <c r="P24" s="37">
        <f>IF(OR('A-2 Identify Outlier-Exclusion'!P24="",'A-2 Identify Outlier-Exclusion'!P24&lt;0.9),'A-2 Identify Outlier-Exclusion'!P24,'A-2 Identify Outlier-Exclusion'!$P$126)</f>
        <v>0.25335793133431267</v>
      </c>
      <c r="Q24" s="36">
        <f t="shared" si="1"/>
        <v>61.210838117962652</v>
      </c>
    </row>
    <row r="25" spans="1:17" x14ac:dyDescent="0.25">
      <c r="A25" s="43" t="s">
        <v>365</v>
      </c>
      <c r="B25" s="43" t="s">
        <v>104</v>
      </c>
      <c r="C25" s="60">
        <f>'A-2 Identify Outlier-Exclusion'!C25</f>
        <v>424522</v>
      </c>
      <c r="D25" s="61">
        <f>'A-2 Identify Outlier-Exclusion'!D25</f>
        <v>23185</v>
      </c>
      <c r="E25" s="36">
        <f t="shared" si="0"/>
        <v>18.310200560707354</v>
      </c>
      <c r="F25" s="60">
        <f>'A-2 Identify Outlier-Exclusion'!F25</f>
        <v>64242</v>
      </c>
      <c r="G25" s="60">
        <f>'A-2 Identify Outlier-Exclusion'!G25</f>
        <v>586491</v>
      </c>
      <c r="H25" s="37">
        <f>IF(OR('A-2 Identify Outlier-Exclusion'!H25="",'A-2 Identify Outlier-Exclusion'!H25&lt;0.5),'A-2 Identify Outlier-Exclusion'!H25,'A-2 Identify Outlier-Exclusion'!$H$126)</f>
        <v>0.10953620771674245</v>
      </c>
      <c r="I25" s="60">
        <f>'A-2 Identify Outlier-Exclusion'!I25</f>
        <v>1271</v>
      </c>
      <c r="J25" s="60">
        <f>'A-2 Identify Outlier-Exclusion'!J25</f>
        <v>23383</v>
      </c>
      <c r="K25" s="60">
        <f>'A-2 Identify Outlier-Exclusion'!K25</f>
        <v>172</v>
      </c>
      <c r="L25" s="60">
        <f>'A-2 Identify Outlier-Exclusion'!L25</f>
        <v>52950</v>
      </c>
      <c r="M25" s="37">
        <f>IF(OR('A-2 Identify Outlier-Exclusion'!M25="",'A-2 Identify Outlier-Exclusion'!M25&lt;1.5),'A-2 Identify Outlier-Exclusion'!M25,'A-2 Identify Outlier-Exclusion'!$M$126)</f>
        <v>0.17967650947761002</v>
      </c>
      <c r="N25" s="60">
        <f>'A-2 Identify Outlier-Exclusion'!N25</f>
        <v>1090107</v>
      </c>
      <c r="O25" s="60">
        <f>'A-2 Identify Outlier-Exclusion'!O25</f>
        <v>259282</v>
      </c>
      <c r="P25" s="37">
        <f>IF(OR('A-2 Identify Outlier-Exclusion'!P25="",'A-2 Identify Outlier-Exclusion'!P25&lt;0.9),'A-2 Identify Outlier-Exclusion'!P25,'A-2 Identify Outlier-Exclusion'!$P$126)</f>
        <v>0.23785004591292414</v>
      </c>
      <c r="Q25" s="36">
        <f t="shared" si="1"/>
        <v>30.972570805332779</v>
      </c>
    </row>
    <row r="26" spans="1:17" x14ac:dyDescent="0.25">
      <c r="A26" s="43" t="s">
        <v>365</v>
      </c>
      <c r="B26" s="43" t="s">
        <v>105</v>
      </c>
      <c r="C26" s="60">
        <f>'A-2 Identify Outlier-Exclusion'!C26</f>
        <v>652217</v>
      </c>
      <c r="D26" s="61">
        <f>'A-2 Identify Outlier-Exclusion'!D26</f>
        <v>83832</v>
      </c>
      <c r="E26" s="36">
        <v>7.78</v>
      </c>
      <c r="F26" s="60">
        <f>'A-2 Identify Outlier-Exclusion'!F26</f>
        <v>2304</v>
      </c>
      <c r="G26" s="60" t="str">
        <f>'A-2 Identify Outlier-Exclusion'!G26</f>
        <v/>
      </c>
      <c r="H26" s="37" t="str">
        <f>IF(OR('A-2 Identify Outlier-Exclusion'!H26="",'A-2 Identify Outlier-Exclusion'!H26&lt;0.5),'A-2 Identify Outlier-Exclusion'!H26,'A-2 Identify Outlier-Exclusion'!$H$126)</f>
        <v/>
      </c>
      <c r="I26" s="60">
        <f>'A-2 Identify Outlier-Exclusion'!I26</f>
        <v>652217</v>
      </c>
      <c r="J26" s="60" t="str">
        <f>'A-2 Identify Outlier-Exclusion'!J26</f>
        <v/>
      </c>
      <c r="K26" s="60" t="str">
        <f>'A-2 Identify Outlier-Exclusion'!K26</f>
        <v/>
      </c>
      <c r="L26" s="60">
        <f>'A-2 Identify Outlier-Exclusion'!L26</f>
        <v>700</v>
      </c>
      <c r="M26" s="37">
        <f>IF(OR('A-2 Identify Outlier-Exclusion'!M26="",'A-2 Identify Outlier-Exclusion'!M26&lt;1.5),'A-2 Identify Outlier-Exclusion'!M26,'A-2 Identify Outlier-Exclusion'!$M$126)</f>
        <v>5.3663121323117922E-4</v>
      </c>
      <c r="N26" s="60">
        <f>'A-2 Identify Outlier-Exclusion'!N26</f>
        <v>656055</v>
      </c>
      <c r="O26" s="60">
        <f>'A-2 Identify Outlier-Exclusion'!O26</f>
        <v>63674</v>
      </c>
      <c r="P26" s="37">
        <f>IF(OR('A-2 Identify Outlier-Exclusion'!P26="",'A-2 Identify Outlier-Exclusion'!P26&lt;0.9),'A-2 Identify Outlier-Exclusion'!P26,'A-2 Identify Outlier-Exclusion'!$P$126)</f>
        <v>9.705588708263789E-2</v>
      </c>
      <c r="Q26" s="36">
        <f>IFERROR((E26+(E26*M26))/(1-P26),"")</f>
        <v>8.6208823774139276</v>
      </c>
    </row>
    <row r="27" spans="1:17" x14ac:dyDescent="0.25">
      <c r="A27" s="43" t="s">
        <v>365</v>
      </c>
      <c r="B27" s="43" t="s">
        <v>106</v>
      </c>
      <c r="C27" s="60">
        <f>'A-2 Identify Outlier-Exclusion'!C27</f>
        <v>1682897</v>
      </c>
      <c r="D27" s="61">
        <f>'A-2 Identify Outlier-Exclusion'!D27</f>
        <v>77028</v>
      </c>
      <c r="E27" s="36">
        <f t="shared" si="0"/>
        <v>21.847860518253103</v>
      </c>
      <c r="F27" s="60">
        <f>'A-2 Identify Outlier-Exclusion'!F27</f>
        <v>396788</v>
      </c>
      <c r="G27" s="60">
        <f>'A-2 Identify Outlier-Exclusion'!G27</f>
        <v>2430396</v>
      </c>
      <c r="H27" s="37">
        <f>IF(OR('A-2 Identify Outlier-Exclusion'!H27="",'A-2 Identify Outlier-Exclusion'!H27&lt;0.5),'A-2 Identify Outlier-Exclusion'!H27,'A-2 Identify Outlier-Exclusion'!$H$126)</f>
        <v>0.16326063736115431</v>
      </c>
      <c r="I27" s="60" t="str">
        <f>'A-2 Identify Outlier-Exclusion'!I27</f>
        <v/>
      </c>
      <c r="J27" s="60">
        <f>'A-2 Identify Outlier-Exclusion'!J27</f>
        <v>201626</v>
      </c>
      <c r="K27" s="60">
        <f>'A-2 Identify Outlier-Exclusion'!K27</f>
        <v>4531</v>
      </c>
      <c r="L27" s="60">
        <f>'A-2 Identify Outlier-Exclusion'!L27</f>
        <v>43018</v>
      </c>
      <c r="M27" s="37">
        <f>IF(OR('A-2 Identify Outlier-Exclusion'!M27="",'A-2 Identify Outlier-Exclusion'!M27&lt;1.5),'A-2 Identify Outlier-Exclusion'!M27,'A-2 Identify Outlier-Exclusion'!$M$126)</f>
        <v>0.14806313161173856</v>
      </c>
      <c r="N27" s="60">
        <f>'A-2 Identify Outlier-Exclusion'!N27</f>
        <v>2994948</v>
      </c>
      <c r="O27" s="60">
        <f>'A-2 Identify Outlier-Exclusion'!O27</f>
        <v>502797</v>
      </c>
      <c r="P27" s="37">
        <f>IF(OR('A-2 Identify Outlier-Exclusion'!P27="",'A-2 Identify Outlier-Exclusion'!P27&lt;0.9),'A-2 Identify Outlier-Exclusion'!P27,'A-2 Identify Outlier-Exclusion'!$P$126)</f>
        <v>0.16788171280436254</v>
      </c>
      <c r="Q27" s="36">
        <f t="shared" si="1"/>
        <v>34.429743030096361</v>
      </c>
    </row>
    <row r="28" spans="1:17" x14ac:dyDescent="0.25">
      <c r="A28" s="43" t="s">
        <v>365</v>
      </c>
      <c r="B28" s="43" t="s">
        <v>107</v>
      </c>
      <c r="C28" s="60">
        <f>'A-2 Identify Outlier-Exclusion'!C28</f>
        <v>343323</v>
      </c>
      <c r="D28" s="61">
        <f>'A-2 Identify Outlier-Exclusion'!D28</f>
        <v>19073</v>
      </c>
      <c r="E28" s="36">
        <f t="shared" si="0"/>
        <v>18.000471871231586</v>
      </c>
      <c r="F28" s="60">
        <f>'A-2 Identify Outlier-Exclusion'!F28</f>
        <v>115078</v>
      </c>
      <c r="G28" s="60">
        <f>'A-2 Identify Outlier-Exclusion'!G28</f>
        <v>1065571</v>
      </c>
      <c r="H28" s="37">
        <f>IF(OR('A-2 Identify Outlier-Exclusion'!H28="",'A-2 Identify Outlier-Exclusion'!H28&lt;0.5),'A-2 Identify Outlier-Exclusion'!H28,'A-2 Identify Outlier-Exclusion'!$H$126)</f>
        <v>0.10799655771412699</v>
      </c>
      <c r="I28" s="60" t="str">
        <f>'A-2 Identify Outlier-Exclusion'!I28</f>
        <v/>
      </c>
      <c r="J28" s="60">
        <f>'A-2 Identify Outlier-Exclusion'!J28</f>
        <v>87795</v>
      </c>
      <c r="K28" s="60">
        <f>'A-2 Identify Outlier-Exclusion'!K28</f>
        <v>238</v>
      </c>
      <c r="L28" s="60">
        <f>'A-2 Identify Outlier-Exclusion'!L28</f>
        <v>2217</v>
      </c>
      <c r="M28" s="37">
        <f>IF(OR('A-2 Identify Outlier-Exclusion'!M28="",'A-2 Identify Outlier-Exclusion'!M28&lt;1.5),'A-2 Identify Outlier-Exclusion'!M28,'A-2 Identify Outlier-Exclusion'!$M$126)</f>
        <v>0.26287198935113582</v>
      </c>
      <c r="N28" s="60">
        <f>'A-2 Identify Outlier-Exclusion'!N28</f>
        <v>1909598</v>
      </c>
      <c r="O28" s="60">
        <f>'A-2 Identify Outlier-Exclusion'!O28</f>
        <v>876669</v>
      </c>
      <c r="P28" s="37">
        <f>IF(OR('A-2 Identify Outlier-Exclusion'!P28="",'A-2 Identify Outlier-Exclusion'!P28&lt;0.9),'A-2 Identify Outlier-Exclusion'!P28,'A-2 Identify Outlier-Exclusion'!$P$126)</f>
        <v>0.45908562954087717</v>
      </c>
      <c r="Q28" s="36">
        <f t="shared" si="1"/>
        <v>45.619569507202023</v>
      </c>
    </row>
    <row r="29" spans="1:17" x14ac:dyDescent="0.25">
      <c r="A29" s="43" t="s">
        <v>365</v>
      </c>
      <c r="B29" s="43" t="s">
        <v>108</v>
      </c>
      <c r="C29" s="60">
        <f>'A-2 Identify Outlier-Exclusion'!C29</f>
        <v>806542.28</v>
      </c>
      <c r="D29" s="61">
        <f>'A-2 Identify Outlier-Exclusion'!D29</f>
        <v>45981.99</v>
      </c>
      <c r="E29" s="36">
        <f t="shared" si="0"/>
        <v>17.540395272148945</v>
      </c>
      <c r="F29" s="60">
        <f>'A-2 Identify Outlier-Exclusion'!F29</f>
        <v>46601.21</v>
      </c>
      <c r="G29" s="60">
        <f>'A-2 Identify Outlier-Exclusion'!G29</f>
        <v>1017101.73</v>
      </c>
      <c r="H29" s="37">
        <f>IF(OR('A-2 Identify Outlier-Exclusion'!H29="",'A-2 Identify Outlier-Exclusion'!H29&lt;0.5),'A-2 Identify Outlier-Exclusion'!H29,'A-2 Identify Outlier-Exclusion'!$H$126)</f>
        <v>4.5817648938616985E-2</v>
      </c>
      <c r="I29" s="60" t="str">
        <f>'A-2 Identify Outlier-Exclusion'!I29</f>
        <v/>
      </c>
      <c r="J29" s="60">
        <f>'A-2 Identify Outlier-Exclusion'!J29</f>
        <v>91152.89</v>
      </c>
      <c r="K29" s="60" t="str">
        <f>'A-2 Identify Outlier-Exclusion'!K29</f>
        <v/>
      </c>
      <c r="L29" s="60" t="str">
        <f>'A-2 Identify Outlier-Exclusion'!L29</f>
        <v/>
      </c>
      <c r="M29" s="37">
        <f>IF(OR('A-2 Identify Outlier-Exclusion'!M29="",'A-2 Identify Outlier-Exclusion'!M29&lt;1.5),'A-2 Identify Outlier-Exclusion'!M29,'A-2 Identify Outlier-Exclusion'!$M$126)</f>
        <v>0.11301687742891792</v>
      </c>
      <c r="N29" s="60">
        <f>'A-2 Identify Outlier-Exclusion'!N29</f>
        <v>2820663.81</v>
      </c>
      <c r="O29" s="60">
        <f>'A-2 Identify Outlier-Exclusion'!O29</f>
        <v>93604.3</v>
      </c>
      <c r="P29" s="37">
        <f>IF(OR('A-2 Identify Outlier-Exclusion'!P29="",'A-2 Identify Outlier-Exclusion'!P29&lt;0.9),'A-2 Identify Outlier-Exclusion'!P29,'A-2 Identify Outlier-Exclusion'!$P$126)</f>
        <v>3.3185202599525676E-2</v>
      </c>
      <c r="Q29" s="36">
        <f t="shared" si="1"/>
        <v>21.024104825611658</v>
      </c>
    </row>
    <row r="30" spans="1:17" x14ac:dyDescent="0.25">
      <c r="A30" s="43" t="s">
        <v>365</v>
      </c>
      <c r="B30" s="43" t="s">
        <v>110</v>
      </c>
      <c r="C30" s="60">
        <f>'A-2 Identify Outlier-Exclusion'!C30</f>
        <v>144556</v>
      </c>
      <c r="D30" s="61">
        <f>'A-2 Identify Outlier-Exclusion'!D30</f>
        <v>8992</v>
      </c>
      <c r="E30" s="36">
        <f t="shared" si="0"/>
        <v>16.076067615658364</v>
      </c>
      <c r="F30" s="60">
        <f>'A-2 Identify Outlier-Exclusion'!F30</f>
        <v>19715</v>
      </c>
      <c r="G30" s="60">
        <f>'A-2 Identify Outlier-Exclusion'!G30</f>
        <v>194020</v>
      </c>
      <c r="H30" s="37">
        <f>IF(OR('A-2 Identify Outlier-Exclusion'!H30="",'A-2 Identify Outlier-Exclusion'!H30&lt;0.5),'A-2 Identify Outlier-Exclusion'!H30,'A-2 Identify Outlier-Exclusion'!$H$126)</f>
        <v>0.10161323574889186</v>
      </c>
      <c r="I30" s="60" t="str">
        <f>'A-2 Identify Outlier-Exclusion'!I30</f>
        <v/>
      </c>
      <c r="J30" s="60">
        <f>'A-2 Identify Outlier-Exclusion'!J30</f>
        <v>20864</v>
      </c>
      <c r="K30" s="60" t="str">
        <f>'A-2 Identify Outlier-Exclusion'!K30</f>
        <v/>
      </c>
      <c r="L30" s="60" t="str">
        <f>'A-2 Identify Outlier-Exclusion'!L30</f>
        <v/>
      </c>
      <c r="M30" s="37">
        <f>IF(OR('A-2 Identify Outlier-Exclusion'!M30="",'A-2 Identify Outlier-Exclusion'!M30&lt;1.5),'A-2 Identify Outlier-Exclusion'!M30,'A-2 Identify Outlier-Exclusion'!$M$126)</f>
        <v>0.14433160851158028</v>
      </c>
      <c r="N30" s="60">
        <f>'A-2 Identify Outlier-Exclusion'!N30</f>
        <v>316589</v>
      </c>
      <c r="O30" s="60">
        <f>'A-2 Identify Outlier-Exclusion'!O30</f>
        <v>28600</v>
      </c>
      <c r="P30" s="37">
        <f>IF(OR('A-2 Identify Outlier-Exclusion'!P30="",'A-2 Identify Outlier-Exclusion'!P30&lt;0.9),'A-2 Identify Outlier-Exclusion'!P30,'A-2 Identify Outlier-Exclusion'!$P$126)</f>
        <v>9.0337946043608591E-2</v>
      </c>
      <c r="Q30" s="36">
        <f t="shared" si="1"/>
        <v>22.019049244272971</v>
      </c>
    </row>
    <row r="31" spans="1:17" x14ac:dyDescent="0.25">
      <c r="A31" s="43" t="s">
        <v>365</v>
      </c>
      <c r="B31" s="43" t="s">
        <v>111</v>
      </c>
      <c r="C31" s="60">
        <f>'A-2 Identify Outlier-Exclusion'!C31</f>
        <v>249066.79</v>
      </c>
      <c r="D31" s="61">
        <f>'A-2 Identify Outlier-Exclusion'!D31</f>
        <v>11465.59</v>
      </c>
      <c r="E31" s="36">
        <f t="shared" si="0"/>
        <v>21.722980675220377</v>
      </c>
      <c r="F31" s="60">
        <f>'A-2 Identify Outlier-Exclusion'!F31</f>
        <v>93382.47</v>
      </c>
      <c r="G31" s="60">
        <f>'A-2 Identify Outlier-Exclusion'!G31</f>
        <v>1058323.27</v>
      </c>
      <c r="H31" s="37">
        <f>IF(OR('A-2 Identify Outlier-Exclusion'!H31="",'A-2 Identify Outlier-Exclusion'!H31&lt;0.5),'A-2 Identify Outlier-Exclusion'!H31,'A-2 Identify Outlier-Exclusion'!$H$126)</f>
        <v>8.8236243732975839E-2</v>
      </c>
      <c r="I31" s="60">
        <f>'A-2 Identify Outlier-Exclusion'!I31</f>
        <v>9038.4</v>
      </c>
      <c r="J31" s="60">
        <f>'A-2 Identify Outlier-Exclusion'!J31</f>
        <v>26583.77</v>
      </c>
      <c r="K31" s="60">
        <f>'A-2 Identify Outlier-Exclusion'!K31</f>
        <v>719.05</v>
      </c>
      <c r="L31" s="60" t="str">
        <f>'A-2 Identify Outlier-Exclusion'!L31</f>
        <v/>
      </c>
      <c r="M31" s="37">
        <f>IF(OR('A-2 Identify Outlier-Exclusion'!M31="",'A-2 Identify Outlier-Exclusion'!M31&lt;1.5),'A-2 Identify Outlier-Exclusion'!M31,'A-2 Identify Outlier-Exclusion'!$M$126)</f>
        <v>0.10578175510535065</v>
      </c>
      <c r="N31" s="60">
        <f>'A-2 Identify Outlier-Exclusion'!N31</f>
        <v>1535609.05</v>
      </c>
      <c r="O31" s="60">
        <f>'A-2 Identify Outlier-Exclusion'!O31</f>
        <v>108180</v>
      </c>
      <c r="P31" s="37">
        <f>IF(OR('A-2 Identify Outlier-Exclusion'!P31="",'A-2 Identify Outlier-Exclusion'!P31&lt;0.9),'A-2 Identify Outlier-Exclusion'!P31,'A-2 Identify Outlier-Exclusion'!$P$126)</f>
        <v>7.0447618161666864E-2</v>
      </c>
      <c r="Q31" s="36">
        <f t="shared" si="1"/>
        <v>27.903354798935176</v>
      </c>
    </row>
    <row r="32" spans="1:17" x14ac:dyDescent="0.25">
      <c r="A32" s="43" t="s">
        <v>365</v>
      </c>
      <c r="B32" s="43" t="s">
        <v>112</v>
      </c>
      <c r="C32" s="60">
        <f>'A-2 Identify Outlier-Exclusion'!C32</f>
        <v>31995.37</v>
      </c>
      <c r="D32" s="61">
        <f>'A-2 Identify Outlier-Exclusion'!D32</f>
        <v>1279.54</v>
      </c>
      <c r="E32" s="36">
        <f t="shared" si="0"/>
        <v>25.005369117026433</v>
      </c>
      <c r="F32" s="60">
        <f>'A-2 Identify Outlier-Exclusion'!F32</f>
        <v>42882.77</v>
      </c>
      <c r="G32" s="60">
        <f>'A-2 Identify Outlier-Exclusion'!G32</f>
        <v>496176.57</v>
      </c>
      <c r="H32" s="37">
        <f>IF(OR('A-2 Identify Outlier-Exclusion'!H32="",'A-2 Identify Outlier-Exclusion'!H32&lt;0.5),'A-2 Identify Outlier-Exclusion'!H32,'A-2 Identify Outlier-Exclusion'!$H$126)</f>
        <v>8.6426430816755412E-2</v>
      </c>
      <c r="I32" s="60">
        <f>'A-2 Identify Outlier-Exclusion'!I32</f>
        <v>12240</v>
      </c>
      <c r="J32" s="60">
        <f>'A-2 Identify Outlier-Exclusion'!J32</f>
        <v>4783.8100000000004</v>
      </c>
      <c r="K32" s="60">
        <f>'A-2 Identify Outlier-Exclusion'!K32</f>
        <v>54.39</v>
      </c>
      <c r="L32" s="60">
        <f>'A-2 Identify Outlier-Exclusion'!L32</f>
        <v>97.09</v>
      </c>
      <c r="M32" s="37">
        <f>IF(OR('A-2 Identify Outlier-Exclusion'!M32="",'A-2 Identify Outlier-Exclusion'!M32&lt;1.5),'A-2 Identify Outlier-Exclusion'!M32,'A-2 Identify Outlier-Exclusion'!$M$126)</f>
        <v>0.1115688644629852</v>
      </c>
      <c r="N32" s="60">
        <f>'A-2 Identify Outlier-Exclusion'!N32</f>
        <v>709803.46</v>
      </c>
      <c r="O32" s="60">
        <f>'A-2 Identify Outlier-Exclusion'!O32</f>
        <v>53345.13</v>
      </c>
      <c r="P32" s="37">
        <f>IF(OR('A-2 Identify Outlier-Exclusion'!P32="",'A-2 Identify Outlier-Exclusion'!P32&lt;0.9),'A-2 Identify Outlier-Exclusion'!P32,'A-2 Identify Outlier-Exclusion'!$P$126)</f>
        <v>7.5154790031595503E-2</v>
      </c>
      <c r="Q32" s="36">
        <f t="shared" si="1"/>
        <v>32.390625194408898</v>
      </c>
    </row>
    <row r="33" spans="1:17" x14ac:dyDescent="0.25">
      <c r="A33" s="43" t="s">
        <v>365</v>
      </c>
      <c r="B33" s="43" t="s">
        <v>113</v>
      </c>
      <c r="C33" s="60">
        <f>'A-2 Identify Outlier-Exclusion'!C33</f>
        <v>3531403</v>
      </c>
      <c r="D33" s="61">
        <f>'A-2 Identify Outlier-Exclusion'!D33</f>
        <v>178196</v>
      </c>
      <c r="E33" s="36">
        <f t="shared" si="0"/>
        <v>19.817521156479383</v>
      </c>
      <c r="F33" s="60">
        <f>'A-2 Identify Outlier-Exclusion'!F33</f>
        <v>1035403</v>
      </c>
      <c r="G33" s="60">
        <f>'A-2 Identify Outlier-Exclusion'!G33</f>
        <v>4028675</v>
      </c>
      <c r="H33" s="37">
        <f>IF(OR('A-2 Identify Outlier-Exclusion'!H33="",'A-2 Identify Outlier-Exclusion'!H33&lt;0.5),'A-2 Identify Outlier-Exclusion'!H33,'A-2 Identify Outlier-Exclusion'!$H$126)</f>
        <v>0.25700832159456893</v>
      </c>
      <c r="I33" s="60">
        <f>'A-2 Identify Outlier-Exclusion'!I33</f>
        <v>30420</v>
      </c>
      <c r="J33" s="60">
        <f>'A-2 Identify Outlier-Exclusion'!J33</f>
        <v>663881</v>
      </c>
      <c r="K33" s="60">
        <f>'A-2 Identify Outlier-Exclusion'!K33</f>
        <v>17655</v>
      </c>
      <c r="L33" s="60">
        <f>'A-2 Identify Outlier-Exclusion'!L33</f>
        <v>6288</v>
      </c>
      <c r="M33" s="37">
        <f>IF(OR('A-2 Identify Outlier-Exclusion'!M33="",'A-2 Identify Outlier-Exclusion'!M33&lt;1.5),'A-2 Identify Outlier-Exclusion'!M33,'A-2 Identify Outlier-Exclusion'!$M$126)</f>
        <v>0.19311010120379368</v>
      </c>
      <c r="N33" s="60">
        <f>'A-2 Identify Outlier-Exclusion'!N33</f>
        <v>5813388</v>
      </c>
      <c r="O33" s="60">
        <f>'A-2 Identify Outlier-Exclusion'!O33</f>
        <v>1870048</v>
      </c>
      <c r="P33" s="37">
        <f>IF(OR('A-2 Identify Outlier-Exclusion'!P33="",'A-2 Identify Outlier-Exclusion'!P33&lt;0.9),'A-2 Identify Outlier-Exclusion'!P33,'A-2 Identify Outlier-Exclusion'!$P$126)</f>
        <v>0.32167954383915198</v>
      </c>
      <c r="Q33" s="36">
        <f t="shared" si="1"/>
        <v>42.366041392672628</v>
      </c>
    </row>
    <row r="34" spans="1:17" x14ac:dyDescent="0.25">
      <c r="A34" s="43" t="s">
        <v>365</v>
      </c>
      <c r="B34" s="43" t="s">
        <v>114</v>
      </c>
      <c r="C34" s="60">
        <f>'A-2 Identify Outlier-Exclusion'!C34</f>
        <v>1201530</v>
      </c>
      <c r="D34" s="61">
        <f>'A-2 Identify Outlier-Exclusion'!D34</f>
        <v>33195</v>
      </c>
      <c r="E34" s="36">
        <f t="shared" si="0"/>
        <v>36.196113872571168</v>
      </c>
      <c r="F34" s="60">
        <f>'A-2 Identify Outlier-Exclusion'!F34</f>
        <v>1376561</v>
      </c>
      <c r="G34" s="60">
        <f>'A-2 Identify Outlier-Exclusion'!G34</f>
        <v>8615062</v>
      </c>
      <c r="H34" s="37">
        <f>IF(OR('A-2 Identify Outlier-Exclusion'!H34="",'A-2 Identify Outlier-Exclusion'!H34&lt;0.5),'A-2 Identify Outlier-Exclusion'!H34,'A-2 Identify Outlier-Exclusion'!$H$126)</f>
        <v>0.15978538517772711</v>
      </c>
      <c r="I34" s="60" t="str">
        <f>'A-2 Identify Outlier-Exclusion'!I34</f>
        <v/>
      </c>
      <c r="J34" s="60">
        <f>'A-2 Identify Outlier-Exclusion'!J34</f>
        <v>431750</v>
      </c>
      <c r="K34" s="60">
        <f>'A-2 Identify Outlier-Exclusion'!K34</f>
        <v>271295</v>
      </c>
      <c r="L34" s="60">
        <f>'A-2 Identify Outlier-Exclusion'!L34</f>
        <v>482305</v>
      </c>
      <c r="M34" s="37">
        <f>IF(OR('A-2 Identify Outlier-Exclusion'!M34="",'A-2 Identify Outlier-Exclusion'!M34&lt;1.5),'A-2 Identify Outlier-Exclusion'!M34,'A-2 Identify Outlier-Exclusion'!$M$126)</f>
        <v>0.98653383602573386</v>
      </c>
      <c r="N34" s="60">
        <f>'A-2 Identify Outlier-Exclusion'!N34</f>
        <v>15830582</v>
      </c>
      <c r="O34" s="60">
        <f>'A-2 Identify Outlier-Exclusion'!O34</f>
        <v>5390170</v>
      </c>
      <c r="P34" s="37">
        <f>IF(OR('A-2 Identify Outlier-Exclusion'!P34="",'A-2 Identify Outlier-Exclusion'!P34&lt;0.9),'A-2 Identify Outlier-Exclusion'!P34,'A-2 Identify Outlier-Exclusion'!$P$126)</f>
        <v>0.34049095604949964</v>
      </c>
      <c r="Q34" s="36">
        <f t="shared" si="1"/>
        <v>117.79734584413018</v>
      </c>
    </row>
    <row r="35" spans="1:17" x14ac:dyDescent="0.25">
      <c r="A35" s="43" t="s">
        <v>365</v>
      </c>
      <c r="B35" s="43" t="s">
        <v>115</v>
      </c>
      <c r="C35" s="60">
        <f>'A-2 Identify Outlier-Exclusion'!C35</f>
        <v>44621</v>
      </c>
      <c r="D35" s="61">
        <f>'A-2 Identify Outlier-Exclusion'!D35</f>
        <v>2131.06</v>
      </c>
      <c r="E35" s="36">
        <f t="shared" si="0"/>
        <v>20.938406239148595</v>
      </c>
      <c r="F35" s="60">
        <f>'A-2 Identify Outlier-Exclusion'!F35</f>
        <v>52285</v>
      </c>
      <c r="G35" s="60">
        <f>'A-2 Identify Outlier-Exclusion'!G35</f>
        <v>852151.95</v>
      </c>
      <c r="H35" s="37">
        <f>IF(OR('A-2 Identify Outlier-Exclusion'!H35="",'A-2 Identify Outlier-Exclusion'!H35&lt;0.5),'A-2 Identify Outlier-Exclusion'!H35,'A-2 Identify Outlier-Exclusion'!$H$126)</f>
        <v>6.1356428275497116E-2</v>
      </c>
      <c r="I35" s="60" t="str">
        <f>'A-2 Identify Outlier-Exclusion'!I35</f>
        <v/>
      </c>
      <c r="J35" s="60">
        <f>'A-2 Identify Outlier-Exclusion'!J35</f>
        <v>42000</v>
      </c>
      <c r="K35" s="60">
        <f>'A-2 Identify Outlier-Exclusion'!K35</f>
        <v>2658</v>
      </c>
      <c r="L35" s="60" t="str">
        <f>'A-2 Identify Outlier-Exclusion'!L35</f>
        <v/>
      </c>
      <c r="M35" s="37">
        <f>IF(OR('A-2 Identify Outlier-Exclusion'!M35="",'A-2 Identify Outlier-Exclusion'!M35&lt;1.5),'A-2 Identify Outlier-Exclusion'!M35,'A-2 Identify Outlier-Exclusion'!$M$126)</f>
        <v>1.0008292059792474</v>
      </c>
      <c r="N35" s="60">
        <f>'A-2 Identify Outlier-Exclusion'!N35</f>
        <v>2193107.0299999998</v>
      </c>
      <c r="O35" s="60">
        <f>'A-2 Identify Outlier-Exclusion'!O35</f>
        <v>116789</v>
      </c>
      <c r="P35" s="37">
        <f>IF(OR('A-2 Identify Outlier-Exclusion'!P35="",'A-2 Identify Outlier-Exclusion'!P35&lt;0.9),'A-2 Identify Outlier-Exclusion'!P35,'A-2 Identify Outlier-Exclusion'!$P$126)</f>
        <v>5.3252758940816498E-2</v>
      </c>
      <c r="Q35" s="36">
        <f t="shared" si="1"/>
        <v>45.60761170241733</v>
      </c>
    </row>
    <row r="36" spans="1:17" x14ac:dyDescent="0.25">
      <c r="A36" s="43" t="s">
        <v>365</v>
      </c>
      <c r="B36" s="43" t="s">
        <v>116</v>
      </c>
      <c r="C36" s="60">
        <f>'A-2 Identify Outlier-Exclusion'!C36</f>
        <v>336270.4</v>
      </c>
      <c r="D36" s="61">
        <f>'A-2 Identify Outlier-Exclusion'!D36</f>
        <v>12463.62</v>
      </c>
      <c r="E36" s="36">
        <f t="shared" si="0"/>
        <v>26.98015504323784</v>
      </c>
      <c r="F36" s="60">
        <f>'A-2 Identify Outlier-Exclusion'!F36</f>
        <v>109834.04</v>
      </c>
      <c r="G36" s="60">
        <f>'A-2 Identify Outlier-Exclusion'!G36</f>
        <v>659107.49</v>
      </c>
      <c r="H36" s="37">
        <f>IF(OR('A-2 Identify Outlier-Exclusion'!H36="",'A-2 Identify Outlier-Exclusion'!H36&lt;0.5),'A-2 Identify Outlier-Exclusion'!H36,'A-2 Identify Outlier-Exclusion'!$H$126)</f>
        <v>0.16664055812808318</v>
      </c>
      <c r="I36" s="60" t="str">
        <f>'A-2 Identify Outlier-Exclusion'!I36</f>
        <v/>
      </c>
      <c r="J36" s="60">
        <f>'A-2 Identify Outlier-Exclusion'!J36</f>
        <v>63749.94</v>
      </c>
      <c r="K36" s="60" t="str">
        <f>'A-2 Identify Outlier-Exclusion'!K36</f>
        <v/>
      </c>
      <c r="L36" s="60">
        <f>'A-2 Identify Outlier-Exclusion'!L36</f>
        <v>1340.72</v>
      </c>
      <c r="M36" s="37">
        <f>IF(OR('A-2 Identify Outlier-Exclusion'!M36="",'A-2 Identify Outlier-Exclusion'!M36&lt;1.5),'A-2 Identify Outlier-Exclusion'!M36,'A-2 Identify Outlier-Exclusion'!$M$126)</f>
        <v>0.1935664274940643</v>
      </c>
      <c r="N36" s="60">
        <f>'A-2 Identify Outlier-Exclusion'!N36</f>
        <v>1232609.79</v>
      </c>
      <c r="O36" s="60">
        <f>'A-2 Identify Outlier-Exclusion'!O36</f>
        <v>209862.11</v>
      </c>
      <c r="P36" s="37">
        <f>IF(OR('A-2 Identify Outlier-Exclusion'!P36="",'A-2 Identify Outlier-Exclusion'!P36&lt;0.9),'A-2 Identify Outlier-Exclusion'!P36,'A-2 Identify Outlier-Exclusion'!$P$126)</f>
        <v>0.17025835077944657</v>
      </c>
      <c r="Q36" s="36">
        <f t="shared" si="1"/>
        <v>44.228942101984181</v>
      </c>
    </row>
    <row r="37" spans="1:17" x14ac:dyDescent="0.25">
      <c r="A37" s="43" t="s">
        <v>365</v>
      </c>
      <c r="B37" s="43" t="s">
        <v>117</v>
      </c>
      <c r="C37" s="60">
        <f>'A-2 Identify Outlier-Exclusion'!C37</f>
        <v>5233446</v>
      </c>
      <c r="D37" s="61">
        <f>'A-2 Identify Outlier-Exclusion'!D37</f>
        <v>176140</v>
      </c>
      <c r="E37" s="36">
        <f t="shared" si="0"/>
        <v>29.71185420688089</v>
      </c>
      <c r="F37" s="60">
        <f>'A-2 Identify Outlier-Exclusion'!F37</f>
        <v>274066</v>
      </c>
      <c r="G37" s="60">
        <f>'A-2 Identify Outlier-Exclusion'!G37</f>
        <v>6266793</v>
      </c>
      <c r="H37" s="37">
        <f>IF(OR('A-2 Identify Outlier-Exclusion'!H37="",'A-2 Identify Outlier-Exclusion'!H37&lt;0.5),'A-2 Identify Outlier-Exclusion'!H37,'A-2 Identify Outlier-Exclusion'!$H$126)</f>
        <v>4.3733054530443245E-2</v>
      </c>
      <c r="I37" s="60">
        <f>'A-2 Identify Outlier-Exclusion'!I37</f>
        <v>2693521</v>
      </c>
      <c r="J37" s="60">
        <f>'A-2 Identify Outlier-Exclusion'!J37</f>
        <v>750410</v>
      </c>
      <c r="K37" s="60">
        <f>'A-2 Identify Outlier-Exclusion'!K37</f>
        <v>1058</v>
      </c>
      <c r="L37" s="60">
        <f>'A-2 Identify Outlier-Exclusion'!L37</f>
        <v>86876</v>
      </c>
      <c r="M37" s="37">
        <f>IF(OR('A-2 Identify Outlier-Exclusion'!M37="",'A-2 Identify Outlier-Exclusion'!M37&lt;1.5),'A-2 Identify Outlier-Exclusion'!M37,'A-2 Identify Outlier-Exclusion'!$M$126)</f>
        <v>0.10575848240569186</v>
      </c>
      <c r="N37" s="60">
        <f>'A-2 Identify Outlier-Exclusion'!N37</f>
        <v>15706017</v>
      </c>
      <c r="O37" s="60">
        <f>'A-2 Identify Outlier-Exclusion'!O37</f>
        <v>3072725</v>
      </c>
      <c r="P37" s="37">
        <f>IF(OR('A-2 Identify Outlier-Exclusion'!P37="",'A-2 Identify Outlier-Exclusion'!P37&lt;0.9),'A-2 Identify Outlier-Exclusion'!P37,'A-2 Identify Outlier-Exclusion'!$P$126)</f>
        <v>0.1956399894384426</v>
      </c>
      <c r="Q37" s="36">
        <f t="shared" si="1"/>
        <v>42.460495933463775</v>
      </c>
    </row>
    <row r="38" spans="1:17" x14ac:dyDescent="0.25">
      <c r="A38" s="43" t="s">
        <v>365</v>
      </c>
      <c r="B38" s="43" t="s">
        <v>118</v>
      </c>
      <c r="C38" s="60">
        <f>'A-2 Identify Outlier-Exclusion'!C38</f>
        <v>775224.63</v>
      </c>
      <c r="D38" s="61">
        <f>'A-2 Identify Outlier-Exclusion'!D38</f>
        <v>33598</v>
      </c>
      <c r="E38" s="36">
        <f t="shared" si="0"/>
        <v>23.073535031847133</v>
      </c>
      <c r="F38" s="60">
        <f>'A-2 Identify Outlier-Exclusion'!F38</f>
        <v>172840.84</v>
      </c>
      <c r="G38" s="60">
        <f>'A-2 Identify Outlier-Exclusion'!G38</f>
        <v>1305990.4300000002</v>
      </c>
      <c r="H38" s="37">
        <f>IF(OR('A-2 Identify Outlier-Exclusion'!H38="",'A-2 Identify Outlier-Exclusion'!H38&lt;0.5),'A-2 Identify Outlier-Exclusion'!H38,'A-2 Identify Outlier-Exclusion'!$H$126)</f>
        <v>0.13234464512883143</v>
      </c>
      <c r="I38" s="60">
        <f>'A-2 Identify Outlier-Exclusion'!I38</f>
        <v>167189.4</v>
      </c>
      <c r="J38" s="60">
        <f>'A-2 Identify Outlier-Exclusion'!J38</f>
        <v>344161.93</v>
      </c>
      <c r="K38" s="60">
        <f>'A-2 Identify Outlier-Exclusion'!K38</f>
        <v>46188.6</v>
      </c>
      <c r="L38" s="60">
        <f>'A-2 Identify Outlier-Exclusion'!L38</f>
        <v>32908.06</v>
      </c>
      <c r="M38" s="37">
        <f>IF(OR('A-2 Identify Outlier-Exclusion'!M38="",'A-2 Identify Outlier-Exclusion'!M38&lt;1.5),'A-2 Identify Outlier-Exclusion'!M38,'A-2 Identify Outlier-Exclusion'!$M$126)</f>
        <v>0.44912169866571272</v>
      </c>
      <c r="N38" s="60">
        <f>'A-2 Identify Outlier-Exclusion'!N38</f>
        <v>1765627.7</v>
      </c>
      <c r="O38" s="60">
        <f>'A-2 Identify Outlier-Exclusion'!O38</f>
        <v>167012.36999999965</v>
      </c>
      <c r="P38" s="37">
        <f>IF(OR('A-2 Identify Outlier-Exclusion'!P38="",'A-2 Identify Outlier-Exclusion'!P38&lt;0.9),'A-2 Identify Outlier-Exclusion'!P38,'A-2 Identify Outlier-Exclusion'!$P$126)</f>
        <v>9.4590932165370789E-2</v>
      </c>
      <c r="Q38" s="36">
        <f t="shared" si="1"/>
        <v>40.302246113461095</v>
      </c>
    </row>
    <row r="39" spans="1:17" x14ac:dyDescent="0.25">
      <c r="A39" s="43" t="s">
        <v>365</v>
      </c>
      <c r="B39" s="43" t="s">
        <v>119</v>
      </c>
      <c r="C39" s="60">
        <f>'A-2 Identify Outlier-Exclusion'!C39</f>
        <v>386486.4</v>
      </c>
      <c r="D39" s="61">
        <f>'A-2 Identify Outlier-Exclusion'!D39</f>
        <v>20350.39</v>
      </c>
      <c r="E39" s="36">
        <f t="shared" si="0"/>
        <v>18.9915967212422</v>
      </c>
      <c r="F39" s="60">
        <f>'A-2 Identify Outlier-Exclusion'!F39</f>
        <v>108762.27</v>
      </c>
      <c r="G39" s="60">
        <f>'A-2 Identify Outlier-Exclusion'!G39</f>
        <v>1058623.95</v>
      </c>
      <c r="H39" s="37">
        <f>IF(OR('A-2 Identify Outlier-Exclusion'!H39="",'A-2 Identify Outlier-Exclusion'!H39&lt;0.5),'A-2 Identify Outlier-Exclusion'!H39,'A-2 Identify Outlier-Exclusion'!$H$126)</f>
        <v>0.10273928716613677</v>
      </c>
      <c r="I39" s="60" t="str">
        <f>'A-2 Identify Outlier-Exclusion'!I39</f>
        <v/>
      </c>
      <c r="J39" s="60">
        <f>'A-2 Identify Outlier-Exclusion'!J39</f>
        <v>82125</v>
      </c>
      <c r="K39" s="60" t="str">
        <f>'A-2 Identify Outlier-Exclusion'!K39</f>
        <v/>
      </c>
      <c r="L39" s="60">
        <f>'A-2 Identify Outlier-Exclusion'!L39</f>
        <v>8576.81</v>
      </c>
      <c r="M39" s="37">
        <f>IF(OR('A-2 Identify Outlier-Exclusion'!M39="",'A-2 Identify Outlier-Exclusion'!M39&lt;1.5),'A-2 Identify Outlier-Exclusion'!M39,'A-2 Identify Outlier-Exclusion'!$M$126)</f>
        <v>0.23468305741159326</v>
      </c>
      <c r="N39" s="60">
        <f>'A-2 Identify Outlier-Exclusion'!N39</f>
        <v>2161154.37</v>
      </c>
      <c r="O39" s="60">
        <f>'A-2 Identify Outlier-Exclusion'!O39</f>
        <v>460881.42</v>
      </c>
      <c r="P39" s="37">
        <f>IF(OR('A-2 Identify Outlier-Exclusion'!P39="",'A-2 Identify Outlier-Exclusion'!P39&lt;0.9),'A-2 Identify Outlier-Exclusion'!P39,'A-2 Identify Outlier-Exclusion'!$P$126)</f>
        <v>0.21325705669049452</v>
      </c>
      <c r="Q39" s="36">
        <f t="shared" si="1"/>
        <v>32.284732936214176</v>
      </c>
    </row>
    <row r="40" spans="1:17" x14ac:dyDescent="0.25">
      <c r="A40" s="43" t="s">
        <v>365</v>
      </c>
      <c r="B40" s="43" t="s">
        <v>120</v>
      </c>
      <c r="C40" s="60">
        <f>'A-2 Identify Outlier-Exclusion'!C40</f>
        <v>553465.92000000004</v>
      </c>
      <c r="D40" s="61">
        <f>'A-2 Identify Outlier-Exclusion'!D40</f>
        <v>26995</v>
      </c>
      <c r="E40" s="36">
        <f t="shared" si="0"/>
        <v>20.502534543433971</v>
      </c>
      <c r="F40" s="60">
        <f>'A-2 Identify Outlier-Exclusion'!F40</f>
        <v>80183.69</v>
      </c>
      <c r="G40" s="60">
        <f>'A-2 Identify Outlier-Exclusion'!G40</f>
        <v>1090516.55</v>
      </c>
      <c r="H40" s="37">
        <f>IF(OR('A-2 Identify Outlier-Exclusion'!H40="",'A-2 Identify Outlier-Exclusion'!H40&lt;0.5),'A-2 Identify Outlier-Exclusion'!H40,'A-2 Identify Outlier-Exclusion'!$H$126)</f>
        <v>7.3528173414699666E-2</v>
      </c>
      <c r="I40" s="60" t="str">
        <f>'A-2 Identify Outlier-Exclusion'!I40</f>
        <v/>
      </c>
      <c r="J40" s="60">
        <f>'A-2 Identify Outlier-Exclusion'!J40</f>
        <v>62844.53</v>
      </c>
      <c r="K40" s="60" t="str">
        <f>'A-2 Identify Outlier-Exclusion'!K40</f>
        <v/>
      </c>
      <c r="L40" s="60" t="str">
        <f>'A-2 Identify Outlier-Exclusion'!L40</f>
        <v/>
      </c>
      <c r="M40" s="37">
        <f>IF(OR('A-2 Identify Outlier-Exclusion'!M40="",'A-2 Identify Outlier-Exclusion'!M40&lt;1.5),'A-2 Identify Outlier-Exclusion'!M40,'A-2 Identify Outlier-Exclusion'!$M$126)</f>
        <v>0.1135472442458607</v>
      </c>
      <c r="N40" s="60">
        <f>'A-2 Identify Outlier-Exclusion'!N40</f>
        <v>1801334.06</v>
      </c>
      <c r="O40" s="60">
        <f>'A-2 Identify Outlier-Exclusion'!O40</f>
        <v>410435.56</v>
      </c>
      <c r="P40" s="37">
        <f>IF(OR('A-2 Identify Outlier-Exclusion'!P40="",'A-2 Identify Outlier-Exclusion'!P40&lt;0.9),'A-2 Identify Outlier-Exclusion'!P40,'A-2 Identify Outlier-Exclusion'!$P$126)</f>
        <v>0.22785088513787385</v>
      </c>
      <c r="Q40" s="36">
        <f t="shared" si="1"/>
        <v>31.51988947185767</v>
      </c>
    </row>
    <row r="41" spans="1:17" x14ac:dyDescent="0.25">
      <c r="A41" s="43" t="s">
        <v>365</v>
      </c>
      <c r="B41" s="43" t="s">
        <v>121</v>
      </c>
      <c r="C41" s="60">
        <f>'A-2 Identify Outlier-Exclusion'!C41</f>
        <v>454064.33</v>
      </c>
      <c r="D41" s="61">
        <f>'A-2 Identify Outlier-Exclusion'!D41</f>
        <v>19513.7</v>
      </c>
      <c r="E41" s="36">
        <f t="shared" si="0"/>
        <v>23.269002290698332</v>
      </c>
      <c r="F41" s="60">
        <f>'A-2 Identify Outlier-Exclusion'!F41</f>
        <v>86668.5</v>
      </c>
      <c r="G41" s="60">
        <f>'A-2 Identify Outlier-Exclusion'!G41</f>
        <v>871224.8</v>
      </c>
      <c r="H41" s="37">
        <f>IF(OR('A-2 Identify Outlier-Exclusion'!H41="",'A-2 Identify Outlier-Exclusion'!H41&lt;0.5),'A-2 Identify Outlier-Exclusion'!H41,'A-2 Identify Outlier-Exclusion'!$H$126)</f>
        <v>9.9478917496379798E-2</v>
      </c>
      <c r="I41" s="60" t="str">
        <f>'A-2 Identify Outlier-Exclusion'!I41</f>
        <v/>
      </c>
      <c r="J41" s="60">
        <f>'A-2 Identify Outlier-Exclusion'!J41</f>
        <v>65369.96</v>
      </c>
      <c r="K41" s="60" t="str">
        <f>'A-2 Identify Outlier-Exclusion'!K41</f>
        <v/>
      </c>
      <c r="L41" s="60">
        <f>'A-2 Identify Outlier-Exclusion'!L41</f>
        <v>10533.18</v>
      </c>
      <c r="M41" s="37">
        <f>IF(OR('A-2 Identify Outlier-Exclusion'!M41="",'A-2 Identify Outlier-Exclusion'!M41&lt;1.5),'A-2 Identify Outlier-Exclusion'!M41,'A-2 Identify Outlier-Exclusion'!$M$126)</f>
        <v>0.16716384658535058</v>
      </c>
      <c r="N41" s="60">
        <f>'A-2 Identify Outlier-Exclusion'!N41</f>
        <v>1544894.28</v>
      </c>
      <c r="O41" s="60">
        <f>'A-2 Identify Outlier-Exclusion'!O41</f>
        <v>268802.84000000003</v>
      </c>
      <c r="P41" s="37">
        <f>IF(OR('A-2 Identify Outlier-Exclusion'!P41="",'A-2 Identify Outlier-Exclusion'!P41&lt;0.9),'A-2 Identify Outlier-Exclusion'!P41,'A-2 Identify Outlier-Exclusion'!$P$126)</f>
        <v>0.17399432665386011</v>
      </c>
      <c r="Q41" s="36">
        <f t="shared" si="1"/>
        <v>35.681974506927261</v>
      </c>
    </row>
    <row r="42" spans="1:17" x14ac:dyDescent="0.25">
      <c r="A42" s="43" t="s">
        <v>365</v>
      </c>
      <c r="B42" s="43" t="s">
        <v>122</v>
      </c>
      <c r="C42" s="60">
        <f>'A-2 Identify Outlier-Exclusion'!C42</f>
        <v>279399.21999999997</v>
      </c>
      <c r="D42" s="61">
        <f>'A-2 Identify Outlier-Exclusion'!D42</f>
        <v>8480</v>
      </c>
      <c r="E42" s="36">
        <f t="shared" si="0"/>
        <v>32.948021226415094</v>
      </c>
      <c r="F42" s="60">
        <f>'A-2 Identify Outlier-Exclusion'!F42</f>
        <v>63940.180000000008</v>
      </c>
      <c r="G42" s="60">
        <f>'A-2 Identify Outlier-Exclusion'!G42</f>
        <v>633450.38</v>
      </c>
      <c r="H42" s="37">
        <f>IF(OR('A-2 Identify Outlier-Exclusion'!H42="",'A-2 Identify Outlier-Exclusion'!H42&lt;0.5),'A-2 Identify Outlier-Exclusion'!H42,'A-2 Identify Outlier-Exclusion'!$H$126)</f>
        <v>0.10093952426076373</v>
      </c>
      <c r="I42" s="60" t="str">
        <f>'A-2 Identify Outlier-Exclusion'!I42</f>
        <v/>
      </c>
      <c r="J42" s="60">
        <f>'A-2 Identify Outlier-Exclusion'!J42</f>
        <v>57088.66</v>
      </c>
      <c r="K42" s="60" t="str">
        <f>'A-2 Identify Outlier-Exclusion'!K42</f>
        <v/>
      </c>
      <c r="L42" s="60" t="str">
        <f>'A-2 Identify Outlier-Exclusion'!L42</f>
        <v/>
      </c>
      <c r="M42" s="37">
        <f>IF(OR('A-2 Identify Outlier-Exclusion'!M42="",'A-2 Identify Outlier-Exclusion'!M42&lt;1.5),'A-2 Identify Outlier-Exclusion'!M42,'A-2 Identify Outlier-Exclusion'!$M$126)</f>
        <v>0.20432648308753334</v>
      </c>
      <c r="N42" s="60">
        <f>'A-2 Identify Outlier-Exclusion'!N42</f>
        <v>1126399.1599999999</v>
      </c>
      <c r="O42" s="60">
        <f>'A-2 Identify Outlier-Exclusion'!O42</f>
        <v>329274.64</v>
      </c>
      <c r="P42" s="37">
        <f>IF(OR('A-2 Identify Outlier-Exclusion'!P42="",'A-2 Identify Outlier-Exclusion'!P42&lt;0.9),'A-2 Identify Outlier-Exclusion'!P42,'A-2 Identify Outlier-Exclusion'!$P$126)</f>
        <v>0.29232500492986879</v>
      </c>
      <c r="Q42" s="36">
        <f t="shared" si="1"/>
        <v>60.770738567593234</v>
      </c>
    </row>
    <row r="43" spans="1:17" x14ac:dyDescent="0.25">
      <c r="A43" s="43" t="s">
        <v>365</v>
      </c>
      <c r="B43" s="43" t="s">
        <v>124</v>
      </c>
      <c r="C43" s="60">
        <f>'A-2 Identify Outlier-Exclusion'!C43</f>
        <v>399559.52</v>
      </c>
      <c r="D43" s="61">
        <f>'A-2 Identify Outlier-Exclusion'!D43</f>
        <v>12845</v>
      </c>
      <c r="E43" s="36">
        <f t="shared" si="0"/>
        <v>31.106229661346831</v>
      </c>
      <c r="F43" s="60">
        <f>'A-2 Identify Outlier-Exclusion'!F43</f>
        <v>69672.44</v>
      </c>
      <c r="G43" s="60">
        <f>'A-2 Identify Outlier-Exclusion'!G43</f>
        <v>741409.57</v>
      </c>
      <c r="H43" s="37">
        <f>IF(OR('A-2 Identify Outlier-Exclusion'!H43="",'A-2 Identify Outlier-Exclusion'!H43&lt;0.5),'A-2 Identify Outlier-Exclusion'!H43,'A-2 Identify Outlier-Exclusion'!$H$126)</f>
        <v>9.3972943996393263E-2</v>
      </c>
      <c r="I43" s="60" t="str">
        <f>'A-2 Identify Outlier-Exclusion'!I43</f>
        <v/>
      </c>
      <c r="J43" s="60">
        <f>'A-2 Identify Outlier-Exclusion'!J43</f>
        <v>58341.62</v>
      </c>
      <c r="K43" s="60" t="str">
        <f>'A-2 Identify Outlier-Exclusion'!K43</f>
        <v/>
      </c>
      <c r="L43" s="60" t="str">
        <f>'A-2 Identify Outlier-Exclusion'!L43</f>
        <v/>
      </c>
      <c r="M43" s="37">
        <f>IF(OR('A-2 Identify Outlier-Exclusion'!M43="",'A-2 Identify Outlier-Exclusion'!M43&lt;1.5),'A-2 Identify Outlier-Exclusion'!M43,'A-2 Identify Outlier-Exclusion'!$M$126)</f>
        <v>0.14601484154350772</v>
      </c>
      <c r="N43" s="60">
        <f>'A-2 Identify Outlier-Exclusion'!N43</f>
        <v>1330313.27</v>
      </c>
      <c r="O43" s="60">
        <f>'A-2 Identify Outlier-Exclusion'!O43</f>
        <v>330337.05</v>
      </c>
      <c r="P43" s="37">
        <f>IF(OR('A-2 Identify Outlier-Exclusion'!P43="",'A-2 Identify Outlier-Exclusion'!P43&lt;0.9),'A-2 Identify Outlier-Exclusion'!P43,'A-2 Identify Outlier-Exclusion'!$P$126)</f>
        <v>0.24831523329839444</v>
      </c>
      <c r="Q43" s="36">
        <f t="shared" si="1"/>
        <v>51.313192102482255</v>
      </c>
    </row>
    <row r="44" spans="1:17" x14ac:dyDescent="0.25">
      <c r="A44" s="43" t="s">
        <v>365</v>
      </c>
      <c r="B44" s="43" t="s">
        <v>125</v>
      </c>
      <c r="C44" s="60">
        <f>'A-2 Identify Outlier-Exclusion'!C44</f>
        <v>550000</v>
      </c>
      <c r="D44" s="61">
        <f>'A-2 Identify Outlier-Exclusion'!D44</f>
        <v>33333</v>
      </c>
      <c r="E44" s="36">
        <f t="shared" si="0"/>
        <v>16.500165001650018</v>
      </c>
      <c r="F44" s="60" t="str">
        <f>'A-2 Identify Outlier-Exclusion'!F44</f>
        <v/>
      </c>
      <c r="G44" s="60">
        <f>'A-2 Identify Outlier-Exclusion'!G44</f>
        <v>893800</v>
      </c>
      <c r="H44" s="37" t="str">
        <f>IF(OR('A-2 Identify Outlier-Exclusion'!H44="",'A-2 Identify Outlier-Exclusion'!H44&lt;0.5),'A-2 Identify Outlier-Exclusion'!H44,'A-2 Identify Outlier-Exclusion'!$H$126)</f>
        <v/>
      </c>
      <c r="I44" s="60" t="str">
        <f>'A-2 Identify Outlier-Exclusion'!I44</f>
        <v/>
      </c>
      <c r="J44" s="60">
        <f>'A-2 Identify Outlier-Exclusion'!J44</f>
        <v>500000</v>
      </c>
      <c r="K44" s="60">
        <f>'A-2 Identify Outlier-Exclusion'!K44</f>
        <v>6000</v>
      </c>
      <c r="L44" s="60">
        <f>'A-2 Identify Outlier-Exclusion'!L44</f>
        <v>65000</v>
      </c>
      <c r="M44" s="37">
        <f>IF(OR('A-2 Identify Outlier-Exclusion'!M44="",'A-2 Identify Outlier-Exclusion'!M44&lt;1.5),'A-2 Identify Outlier-Exclusion'!M44,'A-2 Identify Outlier-Exclusion'!$M$126)</f>
        <v>1.0381818181818181</v>
      </c>
      <c r="N44" s="60">
        <f>'A-2 Identify Outlier-Exclusion'!N44</f>
        <v>90860</v>
      </c>
      <c r="O44" s="60" t="str">
        <f>'A-2 Identify Outlier-Exclusion'!O44</f>
        <v/>
      </c>
      <c r="P44" s="37" t="str">
        <f>IF(OR('A-2 Identify Outlier-Exclusion'!P44="",'A-2 Identify Outlier-Exclusion'!P44&lt;0.9),'A-2 Identify Outlier-Exclusion'!P44,'A-2 Identify Outlier-Exclusion'!$P$126)</f>
        <v/>
      </c>
      <c r="Q44" s="36">
        <f t="shared" si="2"/>
        <v>33.630336303363038</v>
      </c>
    </row>
    <row r="45" spans="1:17" x14ac:dyDescent="0.25">
      <c r="A45" s="43" t="s">
        <v>365</v>
      </c>
      <c r="B45" s="43" t="s">
        <v>126</v>
      </c>
      <c r="C45" s="60">
        <f>'A-2 Identify Outlier-Exclusion'!C45</f>
        <v>15137.6</v>
      </c>
      <c r="D45" s="61">
        <f>'A-2 Identify Outlier-Exclusion'!D45</f>
        <v>535</v>
      </c>
      <c r="E45" s="36">
        <f t="shared" si="0"/>
        <v>28.294579439252338</v>
      </c>
      <c r="F45" s="60" t="str">
        <f>'A-2 Identify Outlier-Exclusion'!F45</f>
        <v/>
      </c>
      <c r="G45" s="60">
        <f>'A-2 Identify Outlier-Exclusion'!G45</f>
        <v>15137.6</v>
      </c>
      <c r="H45" s="37" t="str">
        <f>IF(OR('A-2 Identify Outlier-Exclusion'!H45="",'A-2 Identify Outlier-Exclusion'!H45&lt;0.5),'A-2 Identify Outlier-Exclusion'!H45,'A-2 Identify Outlier-Exclusion'!$H$126)</f>
        <v/>
      </c>
      <c r="I45" s="60" t="str">
        <f>'A-2 Identify Outlier-Exclusion'!I45</f>
        <v/>
      </c>
      <c r="J45" s="60" t="str">
        <f>'A-2 Identify Outlier-Exclusion'!J45</f>
        <v/>
      </c>
      <c r="K45" s="60" t="str">
        <f>'A-2 Identify Outlier-Exclusion'!K45</f>
        <v/>
      </c>
      <c r="L45" s="60">
        <f>'A-2 Identify Outlier-Exclusion'!L45</f>
        <v>109.6</v>
      </c>
      <c r="M45" s="37">
        <f>IF(OR('A-2 Identify Outlier-Exclusion'!M45="",'A-2 Identify Outlier-Exclusion'!M45&lt;1.5),'A-2 Identify Outlier-Exclusion'!M45,'A-2 Identify Outlier-Exclusion'!$M$126)</f>
        <v>7.2402494450903706E-3</v>
      </c>
      <c r="N45" s="60">
        <f>'A-2 Identify Outlier-Exclusion'!N45</f>
        <v>31788.78</v>
      </c>
      <c r="O45" s="60">
        <f>'A-2 Identify Outlier-Exclusion'!O45</f>
        <v>2680.1</v>
      </c>
      <c r="P45" s="37">
        <f>IF(OR('A-2 Identify Outlier-Exclusion'!P45="",'A-2 Identify Outlier-Exclusion'!P45&lt;0.9),'A-2 Identify Outlier-Exclusion'!P45,'A-2 Identify Outlier-Exclusion'!$P$126)</f>
        <v>8.4309621193389611E-2</v>
      </c>
      <c r="Q45" s="36">
        <f>IFERROR((E45+(E45*M45))/(1-P45),"")</f>
        <v>31.123445120695543</v>
      </c>
    </row>
    <row r="46" spans="1:17" x14ac:dyDescent="0.25">
      <c r="A46" s="43" t="s">
        <v>365</v>
      </c>
      <c r="B46" s="43" t="s">
        <v>127</v>
      </c>
      <c r="C46" s="60">
        <f>'A-2 Identify Outlier-Exclusion'!C46</f>
        <v>997546.44</v>
      </c>
      <c r="D46" s="61">
        <f>'A-2 Identify Outlier-Exclusion'!D46</f>
        <v>41196.269999999997</v>
      </c>
      <c r="E46" s="36">
        <f t="shared" si="0"/>
        <v>24.214484466676232</v>
      </c>
      <c r="F46" s="60">
        <f>'A-2 Identify Outlier-Exclusion'!F46</f>
        <v>87010.33</v>
      </c>
      <c r="G46" s="60">
        <f>'A-2 Identify Outlier-Exclusion'!G46</f>
        <v>2226246.29</v>
      </c>
      <c r="H46" s="37">
        <f>IF(OR('A-2 Identify Outlier-Exclusion'!H46="",'A-2 Identify Outlier-Exclusion'!H46&lt;0.5),'A-2 Identify Outlier-Exclusion'!H46,'A-2 Identify Outlier-Exclusion'!$H$126)</f>
        <v>3.9083874228488885E-2</v>
      </c>
      <c r="I46" s="60">
        <f>'A-2 Identify Outlier-Exclusion'!I46</f>
        <v>1586.57</v>
      </c>
      <c r="J46" s="60">
        <f>'A-2 Identify Outlier-Exclusion'!J46</f>
        <v>251356.98</v>
      </c>
      <c r="K46" s="60">
        <f>'A-2 Identify Outlier-Exclusion'!K46</f>
        <v>9167.52</v>
      </c>
      <c r="L46" s="60">
        <f>'A-2 Identify Outlier-Exclusion'!L46</f>
        <v>720219.19</v>
      </c>
      <c r="M46" s="37">
        <f>IF(OR('A-2 Identify Outlier-Exclusion'!M46="",'A-2 Identify Outlier-Exclusion'!M46&lt;1.5),'A-2 Identify Outlier-Exclusion'!M46,'A-2 Identify Outlier-Exclusion'!$M$126)</f>
        <v>0.98159472280872795</v>
      </c>
      <c r="N46" s="60">
        <f>'A-2 Identify Outlier-Exclusion'!N46</f>
        <v>3853004.72</v>
      </c>
      <c r="O46" s="60">
        <f>'A-2 Identify Outlier-Exclusion'!O46</f>
        <v>1003726.07</v>
      </c>
      <c r="P46" s="37">
        <f>IF(OR('A-2 Identify Outlier-Exclusion'!P46="",'A-2 Identify Outlier-Exclusion'!P46&lt;0.9),'A-2 Identify Outlier-Exclusion'!P46,'A-2 Identify Outlier-Exclusion'!$P$126)</f>
        <v>0.26050476003569489</v>
      </c>
      <c r="Q46" s="36">
        <f t="shared" si="1"/>
        <v>66.166335975961942</v>
      </c>
    </row>
    <row r="47" spans="1:17" x14ac:dyDescent="0.25">
      <c r="A47" s="43" t="s">
        <v>365</v>
      </c>
      <c r="B47" s="43" t="s">
        <v>128</v>
      </c>
      <c r="C47" s="60">
        <f>'A-2 Identify Outlier-Exclusion'!C47</f>
        <v>640631.77</v>
      </c>
      <c r="D47" s="61">
        <f>'A-2 Identify Outlier-Exclusion'!D47</f>
        <v>39898.089999999997</v>
      </c>
      <c r="E47" s="36">
        <f t="shared" si="0"/>
        <v>16.056702714340464</v>
      </c>
      <c r="F47" s="60">
        <f>'A-2 Identify Outlier-Exclusion'!F47</f>
        <v>51629.75</v>
      </c>
      <c r="G47" s="60">
        <f>'A-2 Identify Outlier-Exclusion'!G47</f>
        <v>1627730.92</v>
      </c>
      <c r="H47" s="37">
        <f>IF(OR('A-2 Identify Outlier-Exclusion'!H47="",'A-2 Identify Outlier-Exclusion'!H47&lt;0.5),'A-2 Identify Outlier-Exclusion'!H47,'A-2 Identify Outlier-Exclusion'!$H$126)</f>
        <v>3.1718848223390633E-2</v>
      </c>
      <c r="I47" s="60" t="str">
        <f>'A-2 Identify Outlier-Exclusion'!I47</f>
        <v/>
      </c>
      <c r="J47" s="60">
        <f>'A-2 Identify Outlier-Exclusion'!J47</f>
        <v>190990.63</v>
      </c>
      <c r="K47" s="60">
        <f>'A-2 Identify Outlier-Exclusion'!K47</f>
        <v>233.66</v>
      </c>
      <c r="L47" s="60">
        <f>'A-2 Identify Outlier-Exclusion'!L47</f>
        <v>22273.96</v>
      </c>
      <c r="M47" s="37">
        <f>IF(OR('A-2 Identify Outlier-Exclusion'!M47="",'A-2 Identify Outlier-Exclusion'!M47&lt;1.5),'A-2 Identify Outlier-Exclusion'!M47,'A-2 Identify Outlier-Exclusion'!$M$126)</f>
        <v>0.33326203912740698</v>
      </c>
      <c r="N47" s="60">
        <f>'A-2 Identify Outlier-Exclusion'!N47</f>
        <v>2720157.63</v>
      </c>
      <c r="O47" s="60">
        <f>'A-2 Identify Outlier-Exclusion'!O47</f>
        <v>646841.04</v>
      </c>
      <c r="P47" s="37">
        <f>IF(OR('A-2 Identify Outlier-Exclusion'!P47="",'A-2 Identify Outlier-Exclusion'!P47&lt;0.9),'A-2 Identify Outlier-Exclusion'!P47,'A-2 Identify Outlier-Exclusion'!$P$126)</f>
        <v>0.23779542511291893</v>
      </c>
      <c r="Q47" s="36">
        <f t="shared" si="1"/>
        <v>28.754868497339281</v>
      </c>
    </row>
    <row r="48" spans="1:17" x14ac:dyDescent="0.25">
      <c r="A48" s="43" t="s">
        <v>365</v>
      </c>
      <c r="B48" s="43" t="s">
        <v>129</v>
      </c>
      <c r="C48" s="60">
        <f>'A-2 Identify Outlier-Exclusion'!C48</f>
        <v>720110.65</v>
      </c>
      <c r="D48" s="61">
        <f>'A-2 Identify Outlier-Exclusion'!D48</f>
        <v>27675.14</v>
      </c>
      <c r="E48" s="36">
        <f t="shared" si="0"/>
        <v>26.020126727452869</v>
      </c>
      <c r="F48" s="60">
        <f>'A-2 Identify Outlier-Exclusion'!F48</f>
        <v>173849.45</v>
      </c>
      <c r="G48" s="60">
        <f>'A-2 Identify Outlier-Exclusion'!G48</f>
        <v>1297299.1299999999</v>
      </c>
      <c r="H48" s="37">
        <f>IF(OR('A-2 Identify Outlier-Exclusion'!H48="",'A-2 Identify Outlier-Exclusion'!H48&lt;0.5),'A-2 Identify Outlier-Exclusion'!H48,'A-2 Identify Outlier-Exclusion'!$H$126)</f>
        <v>0.13400876172637224</v>
      </c>
      <c r="I48" s="60" t="str">
        <f>'A-2 Identify Outlier-Exclusion'!I48</f>
        <v/>
      </c>
      <c r="J48" s="60">
        <f>'A-2 Identify Outlier-Exclusion'!J48</f>
        <v>92786.79</v>
      </c>
      <c r="K48" s="60" t="str">
        <f>'A-2 Identify Outlier-Exclusion'!K48</f>
        <v/>
      </c>
      <c r="L48" s="60">
        <f>'A-2 Identify Outlier-Exclusion'!L48</f>
        <v>21763.8</v>
      </c>
      <c r="M48" s="37">
        <f>IF(OR('A-2 Identify Outlier-Exclusion'!M48="",'A-2 Identify Outlier-Exclusion'!M48&lt;1.5),'A-2 Identify Outlier-Exclusion'!M48,'A-2 Identify Outlier-Exclusion'!$M$126)</f>
        <v>0.15907359514819006</v>
      </c>
      <c r="N48" s="60">
        <f>'A-2 Identify Outlier-Exclusion'!N48</f>
        <v>2391629.2999999998</v>
      </c>
      <c r="O48" s="60">
        <f>'A-2 Identify Outlier-Exclusion'!O48</f>
        <v>426510.5</v>
      </c>
      <c r="P48" s="37">
        <f>IF(OR('A-2 Identify Outlier-Exclusion'!P48="",'A-2 Identify Outlier-Exclusion'!P48&lt;0.9),'A-2 Identify Outlier-Exclusion'!P48,'A-2 Identify Outlier-Exclusion'!$P$126)</f>
        <v>0.1783347026230194</v>
      </c>
      <c r="Q48" s="36">
        <f t="shared" si="1"/>
        <v>40.948749937862672</v>
      </c>
    </row>
    <row r="49" spans="1:17" x14ac:dyDescent="0.25">
      <c r="A49" s="43" t="s">
        <v>365</v>
      </c>
      <c r="B49" s="43" t="s">
        <v>130</v>
      </c>
      <c r="C49" s="60">
        <f>'A-2 Identify Outlier-Exclusion'!C49</f>
        <v>359700.12</v>
      </c>
      <c r="D49" s="61">
        <f>'A-2 Identify Outlier-Exclusion'!D49</f>
        <v>21615.34</v>
      </c>
      <c r="E49" s="36">
        <f t="shared" si="0"/>
        <v>16.640965166404971</v>
      </c>
      <c r="F49" s="60">
        <f>'A-2 Identify Outlier-Exclusion'!F49</f>
        <v>49645.91</v>
      </c>
      <c r="G49" s="60">
        <f>'A-2 Identify Outlier-Exclusion'!G49</f>
        <v>1030341.82</v>
      </c>
      <c r="H49" s="37">
        <f>IF(OR('A-2 Identify Outlier-Exclusion'!H49="",'A-2 Identify Outlier-Exclusion'!H49&lt;0.5),'A-2 Identify Outlier-Exclusion'!H49,'A-2 Identify Outlier-Exclusion'!$H$126)</f>
        <v>4.8183922108490179E-2</v>
      </c>
      <c r="I49" s="60">
        <f>'A-2 Identify Outlier-Exclusion'!I49</f>
        <v>803.65</v>
      </c>
      <c r="J49" s="60">
        <f>'A-2 Identify Outlier-Exclusion'!J49</f>
        <v>141638.07999999999</v>
      </c>
      <c r="K49" s="60">
        <f>'A-2 Identify Outlier-Exclusion'!K49</f>
        <v>1324.9</v>
      </c>
      <c r="L49" s="60">
        <f>'A-2 Identify Outlier-Exclusion'!L49</f>
        <v>15273.6</v>
      </c>
      <c r="M49" s="37">
        <f>IF(OR('A-2 Identify Outlier-Exclusion'!M49="",'A-2 Identify Outlier-Exclusion'!M49&lt;1.5),'A-2 Identify Outlier-Exclusion'!M49,'A-2 Identify Outlier-Exclusion'!$M$126)</f>
        <v>0.43893183142023723</v>
      </c>
      <c r="N49" s="60">
        <f>'A-2 Identify Outlier-Exclusion'!N49</f>
        <v>1858474.96</v>
      </c>
      <c r="O49" s="60">
        <f>'A-2 Identify Outlier-Exclusion'!O49</f>
        <v>495050.53</v>
      </c>
      <c r="P49" s="37">
        <f>IF(OR('A-2 Identify Outlier-Exclusion'!P49="",'A-2 Identify Outlier-Exclusion'!P49&lt;0.9),'A-2 Identify Outlier-Exclusion'!P49,'A-2 Identify Outlier-Exclusion'!$P$126)</f>
        <v>0.26637460318539885</v>
      </c>
      <c r="Q49" s="36">
        <f t="shared" si="1"/>
        <v>33.732531016967513</v>
      </c>
    </row>
    <row r="50" spans="1:17" x14ac:dyDescent="0.25">
      <c r="A50" s="43" t="s">
        <v>365</v>
      </c>
      <c r="B50" s="43" t="s">
        <v>131</v>
      </c>
      <c r="C50" s="60">
        <f>'A-2 Identify Outlier-Exclusion'!C50</f>
        <v>790756.71</v>
      </c>
      <c r="D50" s="61">
        <f>'A-2 Identify Outlier-Exclusion'!D50</f>
        <v>29451.25</v>
      </c>
      <c r="E50" s="36">
        <f t="shared" si="0"/>
        <v>26.849682441322525</v>
      </c>
      <c r="F50" s="60">
        <f>'A-2 Identify Outlier-Exclusion'!F50</f>
        <v>158927.47</v>
      </c>
      <c r="G50" s="60">
        <f>'A-2 Identify Outlier-Exclusion'!G50</f>
        <v>1362163.26</v>
      </c>
      <c r="H50" s="37">
        <f>IF(OR('A-2 Identify Outlier-Exclusion'!H50="",'A-2 Identify Outlier-Exclusion'!H50&lt;0.5),'A-2 Identify Outlier-Exclusion'!H50,'A-2 Identify Outlier-Exclusion'!$H$126)</f>
        <v>0.11667285021327033</v>
      </c>
      <c r="I50" s="60" t="str">
        <f>'A-2 Identify Outlier-Exclusion'!I50</f>
        <v/>
      </c>
      <c r="J50" s="60">
        <f>'A-2 Identify Outlier-Exclusion'!J50</f>
        <v>86600.08</v>
      </c>
      <c r="K50" s="60" t="str">
        <f>'A-2 Identify Outlier-Exclusion'!K50</f>
        <v/>
      </c>
      <c r="L50" s="60">
        <f>'A-2 Identify Outlier-Exclusion'!L50</f>
        <v>20340.580000000002</v>
      </c>
      <c r="M50" s="37">
        <f>IF(OR('A-2 Identify Outlier-Exclusion'!M50="",'A-2 Identify Outlier-Exclusion'!M50&lt;1.5),'A-2 Identify Outlier-Exclusion'!M50,'A-2 Identify Outlier-Exclusion'!$M$126)</f>
        <v>0.13523838450893449</v>
      </c>
      <c r="N50" s="60">
        <f>'A-2 Identify Outlier-Exclusion'!N50</f>
        <v>2436794.29</v>
      </c>
      <c r="O50" s="60">
        <f>'A-2 Identify Outlier-Exclusion'!O50</f>
        <v>425782.95</v>
      </c>
      <c r="P50" s="37">
        <f>IF(OR('A-2 Identify Outlier-Exclusion'!P50="",'A-2 Identify Outlier-Exclusion'!P50&lt;0.9),'A-2 Identify Outlier-Exclusion'!P50,'A-2 Identify Outlier-Exclusion'!$P$126)</f>
        <v>0.17473077302721354</v>
      </c>
      <c r="Q50" s="36">
        <f t="shared" si="1"/>
        <v>40.730246564886876</v>
      </c>
    </row>
    <row r="51" spans="1:17" x14ac:dyDescent="0.25">
      <c r="A51" s="43" t="s">
        <v>365</v>
      </c>
      <c r="B51" s="43" t="s">
        <v>132</v>
      </c>
      <c r="C51" s="60">
        <f>'A-2 Identify Outlier-Exclusion'!C51</f>
        <v>942409.81</v>
      </c>
      <c r="D51" s="61">
        <f>'A-2 Identify Outlier-Exclusion'!D51</f>
        <v>57894.1</v>
      </c>
      <c r="E51" s="36">
        <f t="shared" si="0"/>
        <v>16.278166687106285</v>
      </c>
      <c r="F51" s="60">
        <f>'A-2 Identify Outlier-Exclusion'!F51</f>
        <v>82953.509999999995</v>
      </c>
      <c r="G51" s="60">
        <f>'A-2 Identify Outlier-Exclusion'!G51</f>
        <v>1984442.66</v>
      </c>
      <c r="H51" s="37">
        <f>IF(OR('A-2 Identify Outlier-Exclusion'!H51="",'A-2 Identify Outlier-Exclusion'!H51&lt;0.5),'A-2 Identify Outlier-Exclusion'!H51,'A-2 Identify Outlier-Exclusion'!$H$126)</f>
        <v>4.1801918328040782E-2</v>
      </c>
      <c r="I51" s="60" t="str">
        <f>'A-2 Identify Outlier-Exclusion'!I51</f>
        <v/>
      </c>
      <c r="J51" s="60">
        <f>'A-2 Identify Outlier-Exclusion'!J51</f>
        <v>157664.13</v>
      </c>
      <c r="K51" s="60">
        <f>'A-2 Identify Outlier-Exclusion'!K51</f>
        <v>1123.8499999999999</v>
      </c>
      <c r="L51" s="60">
        <f>'A-2 Identify Outlier-Exclusion'!L51</f>
        <v>36729.14</v>
      </c>
      <c r="M51" s="37">
        <f>IF(OR('A-2 Identify Outlier-Exclusion'!M51="",'A-2 Identify Outlier-Exclusion'!M51&lt;1.5),'A-2 Identify Outlier-Exclusion'!M51,'A-2 Identify Outlier-Exclusion'!$M$126)</f>
        <v>0.20746507297074929</v>
      </c>
      <c r="N51" s="60">
        <f>'A-2 Identify Outlier-Exclusion'!N51</f>
        <v>3509129.51</v>
      </c>
      <c r="O51" s="60">
        <f>'A-2 Identify Outlier-Exclusion'!O51</f>
        <v>868069.22</v>
      </c>
      <c r="P51" s="37">
        <f>IF(OR('A-2 Identify Outlier-Exclusion'!P51="",'A-2 Identify Outlier-Exclusion'!P51&lt;0.9),'A-2 Identify Outlier-Exclusion'!P51,'A-2 Identify Outlier-Exclusion'!$P$126)</f>
        <v>0.24737451767632254</v>
      </c>
      <c r="Q51" s="36">
        <f t="shared" si="1"/>
        <v>27.019781815354168</v>
      </c>
    </row>
    <row r="52" spans="1:17" x14ac:dyDescent="0.25">
      <c r="A52" s="43" t="s">
        <v>365</v>
      </c>
      <c r="B52" s="43" t="s">
        <v>133</v>
      </c>
      <c r="C52" s="60">
        <f>'A-2 Identify Outlier-Exclusion'!C52</f>
        <v>942011.82</v>
      </c>
      <c r="D52" s="61">
        <f>'A-2 Identify Outlier-Exclusion'!D52</f>
        <v>55842.25</v>
      </c>
      <c r="E52" s="36">
        <f t="shared" si="0"/>
        <v>16.869159462593288</v>
      </c>
      <c r="F52" s="60">
        <f>'A-2 Identify Outlier-Exclusion'!F52</f>
        <v>100721.29</v>
      </c>
      <c r="G52" s="60">
        <f>'A-2 Identify Outlier-Exclusion'!G52</f>
        <v>2073281.22</v>
      </c>
      <c r="H52" s="37">
        <f>IF(OR('A-2 Identify Outlier-Exclusion'!H52="",'A-2 Identify Outlier-Exclusion'!H52&lt;0.5),'A-2 Identify Outlier-Exclusion'!H52,'A-2 Identify Outlier-Exclusion'!$H$126)</f>
        <v>4.8580621397805356E-2</v>
      </c>
      <c r="I52" s="60">
        <f>'A-2 Identify Outlier-Exclusion'!I52</f>
        <v>3447.68</v>
      </c>
      <c r="J52" s="60">
        <f>'A-2 Identify Outlier-Exclusion'!J52</f>
        <v>175508.38</v>
      </c>
      <c r="K52" s="60">
        <f>'A-2 Identify Outlier-Exclusion'!K52</f>
        <v>2525.98</v>
      </c>
      <c r="L52" s="60">
        <f>'A-2 Identify Outlier-Exclusion'!L52</f>
        <v>24558.73</v>
      </c>
      <c r="M52" s="37">
        <f>IF(OR('A-2 Identify Outlier-Exclusion'!M52="",'A-2 Identify Outlier-Exclusion'!M52&lt;1.5),'A-2 Identify Outlier-Exclusion'!M52,'A-2 Identify Outlier-Exclusion'!$M$126)</f>
        <v>0.21428002997484294</v>
      </c>
      <c r="N52" s="60">
        <f>'A-2 Identify Outlier-Exclusion'!N52</f>
        <v>3396974.67</v>
      </c>
      <c r="O52" s="60">
        <f>'A-2 Identify Outlier-Exclusion'!O52</f>
        <v>711088.99</v>
      </c>
      <c r="P52" s="37">
        <f>IF(OR('A-2 Identify Outlier-Exclusion'!P52="",'A-2 Identify Outlier-Exclusion'!P52&lt;0.9),'A-2 Identify Outlier-Exclusion'!P52,'A-2 Identify Outlier-Exclusion'!$P$126)</f>
        <v>0.20933008311186496</v>
      </c>
      <c r="Q52" s="36">
        <f t="shared" si="1"/>
        <v>26.943478248020487</v>
      </c>
    </row>
    <row r="53" spans="1:17" x14ac:dyDescent="0.25">
      <c r="A53" s="43" t="s">
        <v>365</v>
      </c>
      <c r="B53" s="43" t="s">
        <v>134</v>
      </c>
      <c r="C53" s="60">
        <f>'A-2 Identify Outlier-Exclusion'!C53</f>
        <v>713683.39</v>
      </c>
      <c r="D53" s="61">
        <f>'A-2 Identify Outlier-Exclusion'!D53</f>
        <v>27261.73</v>
      </c>
      <c r="E53" s="36">
        <f t="shared" si="0"/>
        <v>26.178947190805573</v>
      </c>
      <c r="F53" s="60">
        <f>'A-2 Identify Outlier-Exclusion'!F53</f>
        <v>109488.91</v>
      </c>
      <c r="G53" s="60">
        <f>'A-2 Identify Outlier-Exclusion'!G53</f>
        <v>1178126.6299999999</v>
      </c>
      <c r="H53" s="37">
        <f>IF(OR('A-2 Identify Outlier-Exclusion'!H53="",'A-2 Identify Outlier-Exclusion'!H53&lt;0.5),'A-2 Identify Outlier-Exclusion'!H53,'A-2 Identify Outlier-Exclusion'!$H$126)</f>
        <v>9.2934755239341305E-2</v>
      </c>
      <c r="I53" s="60" t="str">
        <f>'A-2 Identify Outlier-Exclusion'!I53</f>
        <v/>
      </c>
      <c r="J53" s="60">
        <f>'A-2 Identify Outlier-Exclusion'!J53</f>
        <v>72644.899999999994</v>
      </c>
      <c r="K53" s="60" t="str">
        <f>'A-2 Identify Outlier-Exclusion'!K53</f>
        <v/>
      </c>
      <c r="L53" s="60">
        <f>'A-2 Identify Outlier-Exclusion'!L53</f>
        <v>10999.7</v>
      </c>
      <c r="M53" s="37">
        <f>IF(OR('A-2 Identify Outlier-Exclusion'!M53="",'A-2 Identify Outlier-Exclusion'!M53&lt;1.5),'A-2 Identify Outlier-Exclusion'!M53,'A-2 Identify Outlier-Exclusion'!$M$126)</f>
        <v>0.11720127044010369</v>
      </c>
      <c r="N53" s="60">
        <f>'A-2 Identify Outlier-Exclusion'!N53</f>
        <v>1961269.06</v>
      </c>
      <c r="O53" s="60">
        <f>'A-2 Identify Outlier-Exclusion'!O53</f>
        <v>368037.14</v>
      </c>
      <c r="P53" s="37">
        <f>IF(OR('A-2 Identify Outlier-Exclusion'!P53="",'A-2 Identify Outlier-Exclusion'!P53&lt;0.9),'A-2 Identify Outlier-Exclusion'!P53,'A-2 Identify Outlier-Exclusion'!$P$126)</f>
        <v>0.18765254982404098</v>
      </c>
      <c r="Q53" s="36">
        <f t="shared" si="1"/>
        <v>38.998198496334844</v>
      </c>
    </row>
    <row r="54" spans="1:17" x14ac:dyDescent="0.25">
      <c r="A54" s="43" t="s">
        <v>365</v>
      </c>
      <c r="B54" s="43" t="s">
        <v>135</v>
      </c>
      <c r="C54" s="60">
        <f>'A-2 Identify Outlier-Exclusion'!C54</f>
        <v>30000</v>
      </c>
      <c r="D54" s="61">
        <f>'A-2 Identify Outlier-Exclusion'!D54</f>
        <v>3000</v>
      </c>
      <c r="E54" s="36">
        <f t="shared" si="0"/>
        <v>10</v>
      </c>
      <c r="F54" s="60" t="str">
        <f>'A-2 Identify Outlier-Exclusion'!F54</f>
        <v/>
      </c>
      <c r="G54" s="60" t="str">
        <f>'A-2 Identify Outlier-Exclusion'!G54</f>
        <v/>
      </c>
      <c r="H54" s="37" t="str">
        <f>IF(OR('A-2 Identify Outlier-Exclusion'!H54="",'A-2 Identify Outlier-Exclusion'!H54&lt;0.5),'A-2 Identify Outlier-Exclusion'!H54,'A-2 Identify Outlier-Exclusion'!$H$126)</f>
        <v/>
      </c>
      <c r="I54" s="60" t="str">
        <f>'A-2 Identify Outlier-Exclusion'!I54</f>
        <v/>
      </c>
      <c r="J54" s="60">
        <f>'A-2 Identify Outlier-Exclusion'!J54</f>
        <v>30000</v>
      </c>
      <c r="K54" s="60" t="str">
        <f>'A-2 Identify Outlier-Exclusion'!K54</f>
        <v/>
      </c>
      <c r="L54" s="60">
        <f>'A-2 Identify Outlier-Exclusion'!L54</f>
        <v>1200</v>
      </c>
      <c r="M54" s="37">
        <f>IF(OR('A-2 Identify Outlier-Exclusion'!M54="",'A-2 Identify Outlier-Exclusion'!M54&lt;1.5),'A-2 Identify Outlier-Exclusion'!M54,'A-2 Identify Outlier-Exclusion'!$M$126)</f>
        <v>1.04</v>
      </c>
      <c r="N54" s="60" t="str">
        <f>'A-2 Identify Outlier-Exclusion'!N54</f>
        <v/>
      </c>
      <c r="O54" s="60" t="str">
        <f>'A-2 Identify Outlier-Exclusion'!O54</f>
        <v/>
      </c>
      <c r="P54" s="37" t="str">
        <f>IF(OR('A-2 Identify Outlier-Exclusion'!P54="",'A-2 Identify Outlier-Exclusion'!P54&lt;0.9),'A-2 Identify Outlier-Exclusion'!P54,'A-2 Identify Outlier-Exclusion'!$P$126)</f>
        <v/>
      </c>
      <c r="Q54" s="36">
        <f t="shared" si="2"/>
        <v>20.399999999999999</v>
      </c>
    </row>
    <row r="55" spans="1:17" x14ac:dyDescent="0.25">
      <c r="A55" s="43" t="s">
        <v>365</v>
      </c>
      <c r="B55" s="43" t="s">
        <v>136</v>
      </c>
      <c r="C55" s="60">
        <f>'A-2 Identify Outlier-Exclusion'!C55</f>
        <v>697073.79</v>
      </c>
      <c r="D55" s="61">
        <f>'A-2 Identify Outlier-Exclusion'!D55</f>
        <v>22604.97</v>
      </c>
      <c r="E55" s="36">
        <f t="shared" si="0"/>
        <v>30.837191555662315</v>
      </c>
      <c r="F55" s="60">
        <f>'A-2 Identify Outlier-Exclusion'!F55</f>
        <v>201041.1</v>
      </c>
      <c r="G55" s="60">
        <f>'A-2 Identify Outlier-Exclusion'!G55</f>
        <v>1445917.35</v>
      </c>
      <c r="H55" s="37">
        <f>IF(OR('A-2 Identify Outlier-Exclusion'!H55="",'A-2 Identify Outlier-Exclusion'!H55&lt;0.5),'A-2 Identify Outlier-Exclusion'!H55,'A-2 Identify Outlier-Exclusion'!$H$126)</f>
        <v>0.13904051984714064</v>
      </c>
      <c r="I55" s="60" t="str">
        <f>'A-2 Identify Outlier-Exclusion'!I55</f>
        <v/>
      </c>
      <c r="J55" s="60">
        <f>'A-2 Identify Outlier-Exclusion'!J55</f>
        <v>125629.42</v>
      </c>
      <c r="K55" s="60" t="str">
        <f>'A-2 Identify Outlier-Exclusion'!K55</f>
        <v/>
      </c>
      <c r="L55" s="60">
        <f>'A-2 Identify Outlier-Exclusion'!L55</f>
        <v>19504.439999999999</v>
      </c>
      <c r="M55" s="37">
        <f>IF(OR('A-2 Identify Outlier-Exclusion'!M55="",'A-2 Identify Outlier-Exclusion'!M55&lt;1.5),'A-2 Identify Outlier-Exclusion'!M55,'A-2 Identify Outlier-Exclusion'!$M$126)</f>
        <v>0.20820444274629804</v>
      </c>
      <c r="N55" s="60">
        <f>'A-2 Identify Outlier-Exclusion'!N55</f>
        <v>2953512.86</v>
      </c>
      <c r="O55" s="60">
        <f>'A-2 Identify Outlier-Exclusion'!O55</f>
        <v>517411.91</v>
      </c>
      <c r="P55" s="37">
        <f>IF(OR('A-2 Identify Outlier-Exclusion'!P55="",'A-2 Identify Outlier-Exclusion'!P55&lt;0.9),'A-2 Identify Outlier-Exclusion'!P55,'A-2 Identify Outlier-Exclusion'!$P$126)</f>
        <v>0.17518525719234551</v>
      </c>
      <c r="Q55" s="36">
        <f t="shared" si="1"/>
        <v>50.36919059239375</v>
      </c>
    </row>
    <row r="56" spans="1:17" x14ac:dyDescent="0.25">
      <c r="A56" s="43" t="s">
        <v>365</v>
      </c>
      <c r="B56" s="43" t="s">
        <v>137</v>
      </c>
      <c r="C56" s="60">
        <f>'A-2 Identify Outlier-Exclusion'!C56</f>
        <v>433842.35</v>
      </c>
      <c r="D56" s="61">
        <f>'A-2 Identify Outlier-Exclusion'!D56</f>
        <v>10817.85</v>
      </c>
      <c r="E56" s="36">
        <f t="shared" si="0"/>
        <v>40.104304459758637</v>
      </c>
      <c r="F56" s="60">
        <f>'A-2 Identify Outlier-Exclusion'!F56</f>
        <v>91950.98</v>
      </c>
      <c r="G56" s="60">
        <f>'A-2 Identify Outlier-Exclusion'!G56</f>
        <v>833793.89</v>
      </c>
      <c r="H56" s="37">
        <f>IF(OR('A-2 Identify Outlier-Exclusion'!H56="",'A-2 Identify Outlier-Exclusion'!H56&lt;0.5),'A-2 Identify Outlier-Exclusion'!H56,'A-2 Identify Outlier-Exclusion'!$H$126)</f>
        <v>0.11028022764714671</v>
      </c>
      <c r="I56" s="60" t="str">
        <f>'A-2 Identify Outlier-Exclusion'!I56</f>
        <v/>
      </c>
      <c r="J56" s="60">
        <f>'A-2 Identify Outlier-Exclusion'!J56</f>
        <v>53507.75</v>
      </c>
      <c r="K56" s="60" t="str">
        <f>'A-2 Identify Outlier-Exclusion'!K56</f>
        <v/>
      </c>
      <c r="L56" s="60" t="str">
        <f>'A-2 Identify Outlier-Exclusion'!L56</f>
        <v/>
      </c>
      <c r="M56" s="37">
        <f>IF(OR('A-2 Identify Outlier-Exclusion'!M56="",'A-2 Identify Outlier-Exclusion'!M56&lt;1.5),'A-2 Identify Outlier-Exclusion'!M56,'A-2 Identify Outlier-Exclusion'!$M$126)</f>
        <v>0.12333454767613167</v>
      </c>
      <c r="N56" s="60">
        <f>'A-2 Identify Outlier-Exclusion'!N56</f>
        <v>1474452.08</v>
      </c>
      <c r="O56" s="60">
        <f>'A-2 Identify Outlier-Exclusion'!O56</f>
        <v>333758.78000000003</v>
      </c>
      <c r="P56" s="37">
        <f>IF(OR('A-2 Identify Outlier-Exclusion'!P56="",'A-2 Identify Outlier-Exclusion'!P56&lt;0.9),'A-2 Identify Outlier-Exclusion'!P56,'A-2 Identify Outlier-Exclusion'!$P$126)</f>
        <v>0.2263612256561095</v>
      </c>
      <c r="Q56" s="36">
        <f t="shared" si="1"/>
        <v>63.94878873228518</v>
      </c>
    </row>
    <row r="57" spans="1:17" x14ac:dyDescent="0.25">
      <c r="A57" s="43" t="s">
        <v>365</v>
      </c>
      <c r="B57" s="43" t="s">
        <v>138</v>
      </c>
      <c r="C57" s="60">
        <f>'A-2 Identify Outlier-Exclusion'!C57</f>
        <v>229125.34</v>
      </c>
      <c r="D57" s="61">
        <f>'A-2 Identify Outlier-Exclusion'!D57</f>
        <v>7392.94</v>
      </c>
      <c r="E57" s="36">
        <f t="shared" si="0"/>
        <v>30.992452258506088</v>
      </c>
      <c r="F57" s="60">
        <f>'A-2 Identify Outlier-Exclusion'!F57</f>
        <v>35173.910000000003</v>
      </c>
      <c r="G57" s="60">
        <f>'A-2 Identify Outlier-Exclusion'!G57</f>
        <v>407422.29</v>
      </c>
      <c r="H57" s="37">
        <f>IF(OR('A-2 Identify Outlier-Exclusion'!H57="",'A-2 Identify Outlier-Exclusion'!H57&lt;0.5),'A-2 Identify Outlier-Exclusion'!H57,'A-2 Identify Outlier-Exclusion'!$H$126)</f>
        <v>8.6332807171644946E-2</v>
      </c>
      <c r="I57" s="60" t="str">
        <f>'A-2 Identify Outlier-Exclusion'!I57</f>
        <v/>
      </c>
      <c r="J57" s="60">
        <f>'A-2 Identify Outlier-Exclusion'!J57</f>
        <v>58124.89</v>
      </c>
      <c r="K57" s="60" t="str">
        <f>'A-2 Identify Outlier-Exclusion'!K57</f>
        <v/>
      </c>
      <c r="L57" s="60" t="str">
        <f>'A-2 Identify Outlier-Exclusion'!L57</f>
        <v/>
      </c>
      <c r="M57" s="37">
        <f>IF(OR('A-2 Identify Outlier-Exclusion'!M57="",'A-2 Identify Outlier-Exclusion'!M57&lt;1.5),'A-2 Identify Outlier-Exclusion'!M57,'A-2 Identify Outlier-Exclusion'!$M$126)</f>
        <v>0.2536816311980159</v>
      </c>
      <c r="N57" s="60">
        <f>'A-2 Identify Outlier-Exclusion'!N57</f>
        <v>741896.02</v>
      </c>
      <c r="O57" s="60">
        <f>'A-2 Identify Outlier-Exclusion'!O57</f>
        <v>146837.62</v>
      </c>
      <c r="P57" s="37">
        <f>IF(OR('A-2 Identify Outlier-Exclusion'!P57="",'A-2 Identify Outlier-Exclusion'!P57&lt;0.9),'A-2 Identify Outlier-Exclusion'!P57,'A-2 Identify Outlier-Exclusion'!$P$126)</f>
        <v>0.19792210234528551</v>
      </c>
      <c r="Q57" s="36">
        <f t="shared" si="1"/>
        <v>51.778429038271426</v>
      </c>
    </row>
    <row r="58" spans="1:17" x14ac:dyDescent="0.25">
      <c r="A58" s="43" t="s">
        <v>365</v>
      </c>
      <c r="B58" s="43" t="s">
        <v>139</v>
      </c>
      <c r="C58" s="60">
        <f>'A-2 Identify Outlier-Exclusion'!C58</f>
        <v>711371.68</v>
      </c>
      <c r="D58" s="61">
        <f>'A-2 Identify Outlier-Exclusion'!D58</f>
        <v>18361</v>
      </c>
      <c r="E58" s="36">
        <f t="shared" si="0"/>
        <v>38.743623985621703</v>
      </c>
      <c r="F58" s="60">
        <f>'A-2 Identify Outlier-Exclusion'!F58</f>
        <v>99599.45</v>
      </c>
      <c r="G58" s="60">
        <f>'A-2 Identify Outlier-Exclusion'!G58</f>
        <v>1311985.74</v>
      </c>
      <c r="H58" s="37">
        <f>IF(OR('A-2 Identify Outlier-Exclusion'!H58="",'A-2 Identify Outlier-Exclusion'!H58&lt;0.5),'A-2 Identify Outlier-Exclusion'!H58,'A-2 Identify Outlier-Exclusion'!$H$126)</f>
        <v>7.5915040052188368E-2</v>
      </c>
      <c r="I58" s="60" t="str">
        <f>'A-2 Identify Outlier-Exclusion'!I58</f>
        <v/>
      </c>
      <c r="J58" s="60">
        <f>'A-2 Identify Outlier-Exclusion'!J58</f>
        <v>58605.9</v>
      </c>
      <c r="K58" s="60">
        <f>'A-2 Identify Outlier-Exclusion'!K58</f>
        <v>602.08000000000004</v>
      </c>
      <c r="L58" s="60" t="str">
        <f>'A-2 Identify Outlier-Exclusion'!L58</f>
        <v/>
      </c>
      <c r="M58" s="37">
        <f>IF(OR('A-2 Identify Outlier-Exclusion'!M58="",'A-2 Identify Outlier-Exclusion'!M58&lt;1.5),'A-2 Identify Outlier-Exclusion'!M58,'A-2 Identify Outlier-Exclusion'!$M$126)</f>
        <v>8.3230724056937433E-2</v>
      </c>
      <c r="N58" s="60">
        <f>'A-2 Identify Outlier-Exclusion'!N58</f>
        <v>2079631.5</v>
      </c>
      <c r="O58" s="60">
        <f>'A-2 Identify Outlier-Exclusion'!O58</f>
        <v>342694.35</v>
      </c>
      <c r="P58" s="37">
        <f>IF(OR('A-2 Identify Outlier-Exclusion'!P58="",'A-2 Identify Outlier-Exclusion'!P58&lt;0.9),'A-2 Identify Outlier-Exclusion'!P58,'A-2 Identify Outlier-Exclusion'!$P$126)</f>
        <v>0.16478609311313086</v>
      </c>
      <c r="Q58" s="36">
        <f t="shared" si="1"/>
        <v>53.770066876117255</v>
      </c>
    </row>
    <row r="59" spans="1:17" x14ac:dyDescent="0.25">
      <c r="A59" s="43" t="s">
        <v>365</v>
      </c>
      <c r="B59" s="43" t="s">
        <v>140</v>
      </c>
      <c r="C59" s="60">
        <f>'A-2 Identify Outlier-Exclusion'!C59</f>
        <v>8827.0499999999993</v>
      </c>
      <c r="D59" s="61">
        <f>'A-2 Identify Outlier-Exclusion'!D59</f>
        <v>480</v>
      </c>
      <c r="E59" s="36">
        <f t="shared" si="0"/>
        <v>18.389687499999997</v>
      </c>
      <c r="F59" s="60">
        <f>'A-2 Identify Outlier-Exclusion'!F59</f>
        <v>54375.39</v>
      </c>
      <c r="G59" s="60">
        <f>'A-2 Identify Outlier-Exclusion'!G59</f>
        <v>580843.03</v>
      </c>
      <c r="H59" s="37">
        <f>IF(OR('A-2 Identify Outlier-Exclusion'!H59="",'A-2 Identify Outlier-Exclusion'!H59&lt;0.5),'A-2 Identify Outlier-Exclusion'!H59,'A-2 Identify Outlier-Exclusion'!$H$126)</f>
        <v>9.3614603587478695E-2</v>
      </c>
      <c r="I59" s="60" t="str">
        <f>'A-2 Identify Outlier-Exclusion'!I59</f>
        <v/>
      </c>
      <c r="J59" s="60">
        <f>'A-2 Identify Outlier-Exclusion'!J59</f>
        <v>21000</v>
      </c>
      <c r="K59" s="60" t="str">
        <f>'A-2 Identify Outlier-Exclusion'!K59</f>
        <v/>
      </c>
      <c r="L59" s="60" t="str">
        <f>'A-2 Identify Outlier-Exclusion'!L59</f>
        <v/>
      </c>
      <c r="M59" s="37">
        <f>IF(OR('A-2 Identify Outlier-Exclusion'!M59="",'A-2 Identify Outlier-Exclusion'!M59&lt;1.5),'A-2 Identify Outlier-Exclusion'!M59,'A-2 Identify Outlier-Exclusion'!$M$126)</f>
        <v>0.19010516950587109</v>
      </c>
      <c r="N59" s="60">
        <f>'A-2 Identify Outlier-Exclusion'!N59</f>
        <v>727228.91</v>
      </c>
      <c r="O59" s="60">
        <f>'A-2 Identify Outlier-Exclusion'!O59</f>
        <v>62183.44</v>
      </c>
      <c r="P59" s="37">
        <f>IF(OR('A-2 Identify Outlier-Exclusion'!P59="",'A-2 Identify Outlier-Exclusion'!P59&lt;0.9),'A-2 Identify Outlier-Exclusion'!P59,'A-2 Identify Outlier-Exclusion'!$P$126)</f>
        <v>8.550738171286397E-2</v>
      </c>
      <c r="Q59" s="36">
        <f t="shared" si="1"/>
        <v>25.814539114568692</v>
      </c>
    </row>
    <row r="60" spans="1:17" x14ac:dyDescent="0.25">
      <c r="A60" s="43" t="s">
        <v>365</v>
      </c>
      <c r="B60" s="43" t="s">
        <v>141</v>
      </c>
      <c r="C60" s="60">
        <f>'A-2 Identify Outlier-Exclusion'!C60</f>
        <v>13875</v>
      </c>
      <c r="D60" s="61">
        <f>'A-2 Identify Outlier-Exclusion'!D60</f>
        <v>555</v>
      </c>
      <c r="E60" s="36">
        <f t="shared" si="0"/>
        <v>25</v>
      </c>
      <c r="F60" s="60" t="str">
        <f>'A-2 Identify Outlier-Exclusion'!F60</f>
        <v/>
      </c>
      <c r="G60" s="60">
        <f>'A-2 Identify Outlier-Exclusion'!G60</f>
        <v>28012.6</v>
      </c>
      <c r="H60" s="37" t="str">
        <f>IF(OR('A-2 Identify Outlier-Exclusion'!H60="",'A-2 Identify Outlier-Exclusion'!H60&lt;0.5),'A-2 Identify Outlier-Exclusion'!H60,'A-2 Identify Outlier-Exclusion'!$H$126)</f>
        <v/>
      </c>
      <c r="I60" s="60">
        <f>'A-2 Identify Outlier-Exclusion'!I60</f>
        <v>2925</v>
      </c>
      <c r="J60" s="60">
        <f>'A-2 Identify Outlier-Exclusion'!J60</f>
        <v>11212.6</v>
      </c>
      <c r="K60" s="60" t="str">
        <f>'A-2 Identify Outlier-Exclusion'!K60</f>
        <v/>
      </c>
      <c r="L60" s="60" t="str">
        <f>'A-2 Identify Outlier-Exclusion'!L60</f>
        <v/>
      </c>
      <c r="M60" s="37">
        <f>IF(OR('A-2 Identify Outlier-Exclusion'!M60="",'A-2 Identify Outlier-Exclusion'!M60&lt;1.5),'A-2 Identify Outlier-Exclusion'!M60,'A-2 Identify Outlier-Exclusion'!$M$126)</f>
        <v>0.66741666666666666</v>
      </c>
      <c r="N60" s="60">
        <f>'A-2 Identify Outlier-Exclusion'!N60</f>
        <v>82182.720000000001</v>
      </c>
      <c r="O60" s="60">
        <f>'A-2 Identify Outlier-Exclusion'!O60</f>
        <v>29804.58</v>
      </c>
      <c r="P60" s="37">
        <f>IF(OR('A-2 Identify Outlier-Exclusion'!P60="",'A-2 Identify Outlier-Exclusion'!P60&lt;0.9),'A-2 Identify Outlier-Exclusion'!P60,'A-2 Identify Outlier-Exclusion'!$P$126)</f>
        <v>0.36266236989965778</v>
      </c>
      <c r="Q60" s="36">
        <f>IFERROR((E60+(E60*M60))/(1-P60),"")</f>
        <v>65.405547543307208</v>
      </c>
    </row>
    <row r="61" spans="1:17" x14ac:dyDescent="0.25">
      <c r="A61" s="43" t="s">
        <v>365</v>
      </c>
      <c r="B61" s="43" t="s">
        <v>142</v>
      </c>
      <c r="C61" s="60">
        <f>'A-2 Identify Outlier-Exclusion'!C61</f>
        <v>653155.35</v>
      </c>
      <c r="D61" s="61">
        <f>'A-2 Identify Outlier-Exclusion'!D61</f>
        <v>19069.48</v>
      </c>
      <c r="E61" s="36">
        <f t="shared" si="0"/>
        <v>34.251345605648396</v>
      </c>
      <c r="F61" s="60">
        <f>'A-2 Identify Outlier-Exclusion'!F61</f>
        <v>108247.07</v>
      </c>
      <c r="G61" s="60">
        <f>'A-2 Identify Outlier-Exclusion'!G61</f>
        <v>1241071</v>
      </c>
      <c r="H61" s="37">
        <f>IF(OR('A-2 Identify Outlier-Exclusion'!H61="",'A-2 Identify Outlier-Exclusion'!H61&lt;0.5),'A-2 Identify Outlier-Exclusion'!H61,'A-2 Identify Outlier-Exclusion'!$H$126)</f>
        <v>8.7220690838799714E-2</v>
      </c>
      <c r="I61" s="60" t="str">
        <f>'A-2 Identify Outlier-Exclusion'!I61</f>
        <v/>
      </c>
      <c r="J61" s="60">
        <f>'A-2 Identify Outlier-Exclusion'!J61</f>
        <v>88025</v>
      </c>
      <c r="K61" s="60" t="str">
        <f>'A-2 Identify Outlier-Exclusion'!K61</f>
        <v/>
      </c>
      <c r="L61" s="60" t="str">
        <f>'A-2 Identify Outlier-Exclusion'!L61</f>
        <v/>
      </c>
      <c r="M61" s="37">
        <f>IF(OR('A-2 Identify Outlier-Exclusion'!M61="",'A-2 Identify Outlier-Exclusion'!M61&lt;1.5),'A-2 Identify Outlier-Exclusion'!M61,'A-2 Identify Outlier-Exclusion'!$M$126)</f>
        <v>0.13476885705674768</v>
      </c>
      <c r="N61" s="60">
        <f>'A-2 Identify Outlier-Exclusion'!N61</f>
        <v>2081107.32</v>
      </c>
      <c r="O61" s="60">
        <f>'A-2 Identify Outlier-Exclusion'!O61</f>
        <v>511057.59</v>
      </c>
      <c r="P61" s="37">
        <f>IF(OR('A-2 Identify Outlier-Exclusion'!P61="",'A-2 Identify Outlier-Exclusion'!P61&lt;0.9),'A-2 Identify Outlier-Exclusion'!P61,'A-2 Identify Outlier-Exclusion'!$P$126)</f>
        <v>0.24557003143883999</v>
      </c>
      <c r="Q61" s="36">
        <f t="shared" si="1"/>
        <v>55.478689972092951</v>
      </c>
    </row>
    <row r="62" spans="1:17" x14ac:dyDescent="0.25">
      <c r="A62" s="43" t="s">
        <v>365</v>
      </c>
      <c r="B62" s="43" t="s">
        <v>143</v>
      </c>
      <c r="C62" s="60">
        <f>'A-2 Identify Outlier-Exclusion'!C62</f>
        <v>856029.93</v>
      </c>
      <c r="D62" s="61">
        <f>'A-2 Identify Outlier-Exclusion'!D62</f>
        <v>23389.41</v>
      </c>
      <c r="E62" s="36">
        <f t="shared" si="0"/>
        <v>36.599039052289051</v>
      </c>
      <c r="F62" s="60">
        <f>'A-2 Identify Outlier-Exclusion'!F62</f>
        <v>158451.37</v>
      </c>
      <c r="G62" s="60">
        <f>'A-2 Identify Outlier-Exclusion'!G62</f>
        <v>1632275.73</v>
      </c>
      <c r="H62" s="37">
        <f>IF(OR('A-2 Identify Outlier-Exclusion'!H62="",'A-2 Identify Outlier-Exclusion'!H62&lt;0.5),'A-2 Identify Outlier-Exclusion'!H62,'A-2 Identify Outlier-Exclusion'!$H$126)</f>
        <v>9.7073899395661536E-2</v>
      </c>
      <c r="I62" s="60" t="str">
        <f>'A-2 Identify Outlier-Exclusion'!I62</f>
        <v/>
      </c>
      <c r="J62" s="60">
        <f>'A-2 Identify Outlier-Exclusion'!J62</f>
        <v>81585.22</v>
      </c>
      <c r="K62" s="60" t="str">
        <f>'A-2 Identify Outlier-Exclusion'!K62</f>
        <v/>
      </c>
      <c r="L62" s="60" t="str">
        <f>'A-2 Identify Outlier-Exclusion'!L62</f>
        <v/>
      </c>
      <c r="M62" s="37">
        <f>IF(OR('A-2 Identify Outlier-Exclusion'!M62="",'A-2 Identify Outlier-Exclusion'!M62&lt;1.5),'A-2 Identify Outlier-Exclusion'!M62,'A-2 Identify Outlier-Exclusion'!$M$126)</f>
        <v>9.5306504061137207E-2</v>
      </c>
      <c r="N62" s="60">
        <f>'A-2 Identify Outlier-Exclusion'!N62</f>
        <v>2728505.41</v>
      </c>
      <c r="O62" s="60">
        <f>'A-2 Identify Outlier-Exclusion'!O62</f>
        <v>637137.98</v>
      </c>
      <c r="P62" s="37">
        <f>IF(OR('A-2 Identify Outlier-Exclusion'!P62="",'A-2 Identify Outlier-Exclusion'!P62&lt;0.9),'A-2 Identify Outlier-Exclusion'!P62,'A-2 Identify Outlier-Exclusion'!$P$126)</f>
        <v>0.23351171585179301</v>
      </c>
      <c r="Q62" s="36">
        <f t="shared" si="1"/>
        <v>56.934956285465404</v>
      </c>
    </row>
    <row r="63" spans="1:17" x14ac:dyDescent="0.25">
      <c r="A63" s="43" t="s">
        <v>365</v>
      </c>
      <c r="B63" s="43" t="s">
        <v>144</v>
      </c>
      <c r="C63" s="60">
        <f>'A-2 Identify Outlier-Exclusion'!C63</f>
        <v>22424958</v>
      </c>
      <c r="D63" s="61">
        <f>'A-2 Identify Outlier-Exclusion'!D63</f>
        <v>1148670</v>
      </c>
      <c r="E63" s="36">
        <f t="shared" si="0"/>
        <v>19.522541722165634</v>
      </c>
      <c r="F63" s="60">
        <f>'A-2 Identify Outlier-Exclusion'!F63</f>
        <v>1946892</v>
      </c>
      <c r="G63" s="60">
        <f>'A-2 Identify Outlier-Exclusion'!G63</f>
        <v>6105965</v>
      </c>
      <c r="H63" s="37">
        <f>IF(OR('A-2 Identify Outlier-Exclusion'!H63="",'A-2 Identify Outlier-Exclusion'!H63&lt;0.5),'A-2 Identify Outlier-Exclusion'!H63,'A-2 Identify Outlier-Exclusion'!$H$126)</f>
        <v>0.31885082865689535</v>
      </c>
      <c r="I63" s="60" t="str">
        <f>'A-2 Identify Outlier-Exclusion'!I63</f>
        <v/>
      </c>
      <c r="J63" s="60" t="str">
        <f>'A-2 Identify Outlier-Exclusion'!J63</f>
        <v/>
      </c>
      <c r="K63" s="60">
        <f>'A-2 Identify Outlier-Exclusion'!K63</f>
        <v>2598</v>
      </c>
      <c r="L63" s="60" t="str">
        <f>'A-2 Identify Outlier-Exclusion'!L63</f>
        <v/>
      </c>
      <c r="M63" s="37">
        <f>IF(OR('A-2 Identify Outlier-Exclusion'!M63="",'A-2 Identify Outlier-Exclusion'!M63&lt;1.5),'A-2 Identify Outlier-Exclusion'!M63,'A-2 Identify Outlier-Exclusion'!$M$126)</f>
        <v>1.158530597916839E-4</v>
      </c>
      <c r="N63" s="60">
        <f>'A-2 Identify Outlier-Exclusion'!N63</f>
        <v>24731987</v>
      </c>
      <c r="O63" s="60">
        <f>'A-2 Identify Outlier-Exclusion'!O63</f>
        <v>350325</v>
      </c>
      <c r="P63" s="37">
        <f>IF(OR('A-2 Identify Outlier-Exclusion'!P63="",'A-2 Identify Outlier-Exclusion'!P63&lt;0.9),'A-2 Identify Outlier-Exclusion'!P63,'A-2 Identify Outlier-Exclusion'!$P$126)</f>
        <v>1.4164854607112642E-2</v>
      </c>
      <c r="Q63" s="36">
        <f t="shared" si="1"/>
        <v>26.119561870254017</v>
      </c>
    </row>
    <row r="64" spans="1:17" x14ac:dyDescent="0.25">
      <c r="A64" s="43" t="s">
        <v>365</v>
      </c>
      <c r="B64" s="43" t="s">
        <v>145</v>
      </c>
      <c r="C64" s="60">
        <f>'A-2 Identify Outlier-Exclusion'!C64</f>
        <v>1026974.21</v>
      </c>
      <c r="D64" s="61">
        <f>'A-2 Identify Outlier-Exclusion'!D64</f>
        <v>95122.14</v>
      </c>
      <c r="E64" s="36">
        <f t="shared" si="0"/>
        <v>10.796374114375475</v>
      </c>
      <c r="F64" s="60">
        <f>'A-2 Identify Outlier-Exclusion'!F64</f>
        <v>342770.73</v>
      </c>
      <c r="G64" s="60">
        <f>'A-2 Identify Outlier-Exclusion'!G64</f>
        <v>2112890.5299999998</v>
      </c>
      <c r="H64" s="37">
        <f>IF(OR('A-2 Identify Outlier-Exclusion'!H64="",'A-2 Identify Outlier-Exclusion'!H64&lt;0.5),'A-2 Identify Outlier-Exclusion'!H64,'A-2 Identify Outlier-Exclusion'!$H$126)</f>
        <v>0.16222834317876375</v>
      </c>
      <c r="I64" s="60" t="str">
        <f>'A-2 Identify Outlier-Exclusion'!I64</f>
        <v/>
      </c>
      <c r="J64" s="60">
        <f>'A-2 Identify Outlier-Exclusion'!J64</f>
        <v>146526.37</v>
      </c>
      <c r="K64" s="60" t="str">
        <f>'A-2 Identify Outlier-Exclusion'!K64</f>
        <v/>
      </c>
      <c r="L64" s="60">
        <f>'A-2 Identify Outlier-Exclusion'!L64</f>
        <v>22176.68</v>
      </c>
      <c r="M64" s="37">
        <f>IF(OR('A-2 Identify Outlier-Exclusion'!M64="",'A-2 Identify Outlier-Exclusion'!M64&lt;1.5),'A-2 Identify Outlier-Exclusion'!M64,'A-2 Identify Outlier-Exclusion'!$M$126)</f>
        <v>0.16427194408319173</v>
      </c>
      <c r="N64" s="60">
        <f>'A-2 Identify Outlier-Exclusion'!N64</f>
        <v>4316664.34</v>
      </c>
      <c r="O64" s="60">
        <f>'A-2 Identify Outlier-Exclusion'!O64</f>
        <v>1744837.94</v>
      </c>
      <c r="P64" s="37">
        <f>IF(OR('A-2 Identify Outlier-Exclusion'!P64="",'A-2 Identify Outlier-Exclusion'!P64&lt;0.9),'A-2 Identify Outlier-Exclusion'!P64,'A-2 Identify Outlier-Exclusion'!$P$126)</f>
        <v>0.40420977925747176</v>
      </c>
      <c r="Q64" s="36">
        <f t="shared" si="1"/>
        <v>24.037644233666636</v>
      </c>
    </row>
    <row r="65" spans="1:17" x14ac:dyDescent="0.25">
      <c r="A65" s="43" t="s">
        <v>365</v>
      </c>
      <c r="B65" s="43" t="s">
        <v>146</v>
      </c>
      <c r="C65" s="60">
        <f>'A-2 Identify Outlier-Exclusion'!C65</f>
        <v>928020.72</v>
      </c>
      <c r="D65" s="61">
        <f>'A-2 Identify Outlier-Exclusion'!D65</f>
        <v>56600.66</v>
      </c>
      <c r="E65" s="36">
        <f t="shared" si="0"/>
        <v>16.395934605709542</v>
      </c>
      <c r="F65" s="60">
        <f>'A-2 Identify Outlier-Exclusion'!F65</f>
        <v>540761.94999999995</v>
      </c>
      <c r="G65" s="60">
        <f>'A-2 Identify Outlier-Exclusion'!G65</f>
        <v>2405896.98</v>
      </c>
      <c r="H65" s="37">
        <f>IF(OR('A-2 Identify Outlier-Exclusion'!H65="",'A-2 Identify Outlier-Exclusion'!H65&lt;0.5),'A-2 Identify Outlier-Exclusion'!H65,'A-2 Identify Outlier-Exclusion'!$H$126)</f>
        <v>0.22476521417804013</v>
      </c>
      <c r="I65" s="60" t="str">
        <f>'A-2 Identify Outlier-Exclusion'!I65</f>
        <v/>
      </c>
      <c r="J65" s="60">
        <f>'A-2 Identify Outlier-Exclusion'!J65</f>
        <v>144521</v>
      </c>
      <c r="K65" s="60" t="str">
        <f>'A-2 Identify Outlier-Exclusion'!K65</f>
        <v/>
      </c>
      <c r="L65" s="60">
        <f>'A-2 Identify Outlier-Exclusion'!L65</f>
        <v>14378.73</v>
      </c>
      <c r="M65" s="37">
        <f>IF(OR('A-2 Identify Outlier-Exclusion'!M65="",'A-2 Identify Outlier-Exclusion'!M65&lt;1.5),'A-2 Identify Outlier-Exclusion'!M65,'A-2 Identify Outlier-Exclusion'!$M$126)</f>
        <v>0.17122433430150139</v>
      </c>
      <c r="N65" s="60">
        <f>'A-2 Identify Outlier-Exclusion'!N65</f>
        <v>4070518.55</v>
      </c>
      <c r="O65" s="60">
        <f>'A-2 Identify Outlier-Exclusion'!O65</f>
        <v>1677137.82</v>
      </c>
      <c r="P65" s="37">
        <f>IF(OR('A-2 Identify Outlier-Exclusion'!P65="",'A-2 Identify Outlier-Exclusion'!P65&lt;0.9),'A-2 Identify Outlier-Exclusion'!P65,'A-2 Identify Outlier-Exclusion'!$P$126)</f>
        <v>0.41202067977309675</v>
      </c>
      <c r="Q65" s="36">
        <f t="shared" si="1"/>
        <v>38.927480201670669</v>
      </c>
    </row>
    <row r="66" spans="1:17" x14ac:dyDescent="0.25">
      <c r="A66" s="43" t="s">
        <v>365</v>
      </c>
      <c r="B66" s="43" t="s">
        <v>147</v>
      </c>
      <c r="C66" s="60">
        <f>'A-2 Identify Outlier-Exclusion'!C66</f>
        <v>1311158.05</v>
      </c>
      <c r="D66" s="61">
        <f>'A-2 Identify Outlier-Exclusion'!D66</f>
        <v>78169.72</v>
      </c>
      <c r="E66" s="36">
        <f t="shared" si="0"/>
        <v>16.773221779481876</v>
      </c>
      <c r="F66" s="60">
        <f>'A-2 Identify Outlier-Exclusion'!F66</f>
        <v>343741.59</v>
      </c>
      <c r="G66" s="60">
        <f>'A-2 Identify Outlier-Exclusion'!G66</f>
        <v>2570980.46</v>
      </c>
      <c r="H66" s="37">
        <f>IF(OR('A-2 Identify Outlier-Exclusion'!H66="",'A-2 Identify Outlier-Exclusion'!H66&lt;0.5),'A-2 Identify Outlier-Exclusion'!H66,'A-2 Identify Outlier-Exclusion'!$H$126)</f>
        <v>0.13370058440661972</v>
      </c>
      <c r="I66" s="60" t="str">
        <f>'A-2 Identify Outlier-Exclusion'!I66</f>
        <v/>
      </c>
      <c r="J66" s="60">
        <f>'A-2 Identify Outlier-Exclusion'!J66</f>
        <v>141357.76000000001</v>
      </c>
      <c r="K66" s="60" t="str">
        <f>'A-2 Identify Outlier-Exclusion'!K66</f>
        <v/>
      </c>
      <c r="L66" s="60">
        <f>'A-2 Identify Outlier-Exclusion'!L66</f>
        <v>27076.78</v>
      </c>
      <c r="M66" s="37">
        <f>IF(OR('A-2 Identify Outlier-Exclusion'!M66="",'A-2 Identify Outlier-Exclusion'!M66&lt;1.5),'A-2 Identify Outlier-Exclusion'!M66,'A-2 Identify Outlier-Exclusion'!$M$126)</f>
        <v>0.12846242297028951</v>
      </c>
      <c r="N66" s="60">
        <f>'A-2 Identify Outlier-Exclusion'!N66</f>
        <v>4480453.83</v>
      </c>
      <c r="O66" s="60">
        <f>'A-2 Identify Outlier-Exclusion'!O66</f>
        <v>2383189.41</v>
      </c>
      <c r="P66" s="37">
        <f>IF(OR('A-2 Identify Outlier-Exclusion'!P66="",'A-2 Identify Outlier-Exclusion'!P66&lt;0.9),'A-2 Identify Outlier-Exclusion'!P66,'A-2 Identify Outlier-Exclusion'!$P$126)</f>
        <v>0.53190803887828486</v>
      </c>
      <c r="Q66" s="36">
        <f t="shared" si="1"/>
        <v>45.227309595017523</v>
      </c>
    </row>
    <row r="67" spans="1:17" x14ac:dyDescent="0.25">
      <c r="A67" s="43" t="s">
        <v>365</v>
      </c>
      <c r="B67" s="43" t="s">
        <v>148</v>
      </c>
      <c r="C67" s="60">
        <f>'A-2 Identify Outlier-Exclusion'!C67</f>
        <v>915181.54</v>
      </c>
      <c r="D67" s="61">
        <f>'A-2 Identify Outlier-Exclusion'!D67</f>
        <v>50154.76</v>
      </c>
      <c r="E67" s="36">
        <f t="shared" si="0"/>
        <v>18.247152214465785</v>
      </c>
      <c r="F67" s="60">
        <f>'A-2 Identify Outlier-Exclusion'!F67</f>
        <v>394008.15</v>
      </c>
      <c r="G67" s="60">
        <f>'A-2 Identify Outlier-Exclusion'!G67</f>
        <v>1799713.01</v>
      </c>
      <c r="H67" s="37">
        <f>IF(OR('A-2 Identify Outlier-Exclusion'!H67="",'A-2 Identify Outlier-Exclusion'!H67&lt;0.5),'A-2 Identify Outlier-Exclusion'!H67,'A-2 Identify Outlier-Exclusion'!$H$126)</f>
        <v>0.2189283223551293</v>
      </c>
      <c r="I67" s="60" t="str">
        <f>'A-2 Identify Outlier-Exclusion'!I67</f>
        <v/>
      </c>
      <c r="J67" s="60">
        <f>'A-2 Identify Outlier-Exclusion'!J67</f>
        <v>103879.46</v>
      </c>
      <c r="K67" s="60" t="str">
        <f>'A-2 Identify Outlier-Exclusion'!K67</f>
        <v/>
      </c>
      <c r="L67" s="60">
        <f>'A-2 Identify Outlier-Exclusion'!L67</f>
        <v>25845.07</v>
      </c>
      <c r="M67" s="37">
        <f>IF(OR('A-2 Identify Outlier-Exclusion'!M67="",'A-2 Identify Outlier-Exclusion'!M67&lt;1.5),'A-2 Identify Outlier-Exclusion'!M67,'A-2 Identify Outlier-Exclusion'!$M$126)</f>
        <v>0.14174731933513432</v>
      </c>
      <c r="N67" s="60">
        <f>'A-2 Identify Outlier-Exclusion'!N67</f>
        <v>3316888.1</v>
      </c>
      <c r="O67" s="60">
        <f>'A-2 Identify Outlier-Exclusion'!O67</f>
        <v>1802793.88</v>
      </c>
      <c r="P67" s="37">
        <f>IF(OR('A-2 Identify Outlier-Exclusion'!P67="",'A-2 Identify Outlier-Exclusion'!P67&lt;0.9),'A-2 Identify Outlier-Exclusion'!P67,'A-2 Identify Outlier-Exclusion'!$P$126)</f>
        <v>0.54351965627058685</v>
      </c>
      <c r="Q67" s="36">
        <f t="shared" si="1"/>
        <v>54.391072670493031</v>
      </c>
    </row>
    <row r="68" spans="1:17" x14ac:dyDescent="0.25">
      <c r="A68" s="43" t="s">
        <v>365</v>
      </c>
      <c r="B68" s="43" t="s">
        <v>149</v>
      </c>
      <c r="C68" s="60">
        <f>'A-2 Identify Outlier-Exclusion'!C68</f>
        <v>1186796.77</v>
      </c>
      <c r="D68" s="61">
        <f>'A-2 Identify Outlier-Exclusion'!D68</f>
        <v>68301.7</v>
      </c>
      <c r="E68" s="36">
        <f t="shared" si="0"/>
        <v>17.375801334373815</v>
      </c>
      <c r="F68" s="60">
        <f>'A-2 Identify Outlier-Exclusion'!F68</f>
        <v>610729.29</v>
      </c>
      <c r="G68" s="60">
        <f>'A-2 Identify Outlier-Exclusion'!G68</f>
        <v>2273999.5699999998</v>
      </c>
      <c r="H68" s="37">
        <f>IF(OR('A-2 Identify Outlier-Exclusion'!H68="",'A-2 Identify Outlier-Exclusion'!H68&lt;0.5),'A-2 Identify Outlier-Exclusion'!H68,'A-2 Identify Outlier-Exclusion'!$H$126)</f>
        <v>0.26857053891175542</v>
      </c>
      <c r="I68" s="60" t="str">
        <f>'A-2 Identify Outlier-Exclusion'!I68</f>
        <v/>
      </c>
      <c r="J68" s="60">
        <f>'A-2 Identify Outlier-Exclusion'!J68</f>
        <v>175867.76</v>
      </c>
      <c r="K68" s="60" t="str">
        <f>'A-2 Identify Outlier-Exclusion'!K68</f>
        <v/>
      </c>
      <c r="L68" s="60">
        <f>'A-2 Identify Outlier-Exclusion'!L68</f>
        <v>32572.25</v>
      </c>
      <c r="M68" s="37">
        <f>IF(OR('A-2 Identify Outlier-Exclusion'!M68="",'A-2 Identify Outlier-Exclusion'!M68&lt;1.5),'A-2 Identify Outlier-Exclusion'!M68,'A-2 Identify Outlier-Exclusion'!$M$126)</f>
        <v>0.17563243789414762</v>
      </c>
      <c r="N68" s="60">
        <f>'A-2 Identify Outlier-Exclusion'!N68</f>
        <v>4008134.7</v>
      </c>
      <c r="O68" s="60">
        <f>'A-2 Identify Outlier-Exclusion'!O68</f>
        <v>2036875.6</v>
      </c>
      <c r="P68" s="37">
        <f>IF(OR('A-2 Identify Outlier-Exclusion'!P68="",'A-2 Identify Outlier-Exclusion'!P68&lt;0.9),'A-2 Identify Outlier-Exclusion'!P68,'A-2 Identify Outlier-Exclusion'!$P$126)</f>
        <v>0.5081854160240673</v>
      </c>
      <c r="Q68" s="36">
        <f t="shared" si="1"/>
        <v>51.023667920995706</v>
      </c>
    </row>
    <row r="69" spans="1:17" x14ac:dyDescent="0.25">
      <c r="A69" s="43" t="s">
        <v>365</v>
      </c>
      <c r="B69" s="43" t="s">
        <v>150</v>
      </c>
      <c r="C69" s="60">
        <f>'A-2 Identify Outlier-Exclusion'!C69</f>
        <v>1178281.8600000001</v>
      </c>
      <c r="D69" s="61">
        <f>'A-2 Identify Outlier-Exclusion'!D69</f>
        <v>67294.600000000006</v>
      </c>
      <c r="E69" s="36">
        <f t="shared" si="0"/>
        <v>17.509307730486547</v>
      </c>
      <c r="F69" s="60">
        <f>'A-2 Identify Outlier-Exclusion'!F69</f>
        <v>551039.31000000006</v>
      </c>
      <c r="G69" s="60">
        <f>'A-2 Identify Outlier-Exclusion'!G69</f>
        <v>2185093.7200000002</v>
      </c>
      <c r="H69" s="37">
        <f>IF(OR('A-2 Identify Outlier-Exclusion'!H69="",'A-2 Identify Outlier-Exclusion'!H69&lt;0.5),'A-2 Identify Outlier-Exclusion'!H69,'A-2 Identify Outlier-Exclusion'!$H$126)</f>
        <v>0.25218108722586052</v>
      </c>
      <c r="I69" s="60" t="str">
        <f>'A-2 Identify Outlier-Exclusion'!I69</f>
        <v/>
      </c>
      <c r="J69" s="60">
        <f>'A-2 Identify Outlier-Exclusion'!J69</f>
        <v>147325.16</v>
      </c>
      <c r="K69" s="60" t="str">
        <f>'A-2 Identify Outlier-Exclusion'!K69</f>
        <v/>
      </c>
      <c r="L69" s="60">
        <f>'A-2 Identify Outlier-Exclusion'!L69</f>
        <v>24242.080000000002</v>
      </c>
      <c r="M69" s="37">
        <f>IF(OR('A-2 Identify Outlier-Exclusion'!M69="",'A-2 Identify Outlier-Exclusion'!M69&lt;1.5),'A-2 Identify Outlier-Exclusion'!M69,'A-2 Identify Outlier-Exclusion'!$M$126)</f>
        <v>0.14560797872251041</v>
      </c>
      <c r="N69" s="60">
        <f>'A-2 Identify Outlier-Exclusion'!N69</f>
        <v>3813397.91</v>
      </c>
      <c r="O69" s="60">
        <f>'A-2 Identify Outlier-Exclusion'!O69</f>
        <v>1942837.57</v>
      </c>
      <c r="P69" s="37">
        <f>IF(OR('A-2 Identify Outlier-Exclusion'!P69="",'A-2 Identify Outlier-Exclusion'!P69&lt;0.9),'A-2 Identify Outlier-Exclusion'!P69,'A-2 Identify Outlier-Exclusion'!$P$126)</f>
        <v>0.50947674904452867</v>
      </c>
      <c r="Q69" s="36">
        <f t="shared" si="1"/>
        <v>49.89430949567997</v>
      </c>
    </row>
    <row r="70" spans="1:17" x14ac:dyDescent="0.25">
      <c r="A70" s="43" t="s">
        <v>365</v>
      </c>
      <c r="B70" s="43" t="s">
        <v>151</v>
      </c>
      <c r="C70" s="60">
        <f>'A-2 Identify Outlier-Exclusion'!C70</f>
        <v>1599105.71</v>
      </c>
      <c r="D70" s="61">
        <f>'A-2 Identify Outlier-Exclusion'!D70</f>
        <v>86621.34</v>
      </c>
      <c r="E70" s="36">
        <f t="shared" si="0"/>
        <v>18.460874768273037</v>
      </c>
      <c r="F70" s="60">
        <f>'A-2 Identify Outlier-Exclusion'!F70</f>
        <v>673697.07</v>
      </c>
      <c r="G70" s="60">
        <f>'A-2 Identify Outlier-Exclusion'!G70</f>
        <v>3087116.6</v>
      </c>
      <c r="H70" s="37">
        <f>IF(OR('A-2 Identify Outlier-Exclusion'!H70="",'A-2 Identify Outlier-Exclusion'!H70&lt;0.5),'A-2 Identify Outlier-Exclusion'!H70,'A-2 Identify Outlier-Exclusion'!$H$126)</f>
        <v>0.21822857938051318</v>
      </c>
      <c r="I70" s="60">
        <f>'A-2 Identify Outlier-Exclusion'!I70</f>
        <v>15436.64</v>
      </c>
      <c r="J70" s="60">
        <f>'A-2 Identify Outlier-Exclusion'!J70</f>
        <v>200076.04</v>
      </c>
      <c r="K70" s="60" t="str">
        <f>'A-2 Identify Outlier-Exclusion'!K70</f>
        <v/>
      </c>
      <c r="L70" s="60">
        <f>'A-2 Identify Outlier-Exclusion'!L70</f>
        <v>36225.79</v>
      </c>
      <c r="M70" s="37">
        <f>IF(OR('A-2 Identify Outlier-Exclusion'!M70="",'A-2 Identify Outlier-Exclusion'!M70&lt;1.5),'A-2 Identify Outlier-Exclusion'!M70,'A-2 Identify Outlier-Exclusion'!$M$126)</f>
        <v>0.14635839685468766</v>
      </c>
      <c r="N70" s="60">
        <f>'A-2 Identify Outlier-Exclusion'!N70</f>
        <v>5394160.1299999999</v>
      </c>
      <c r="O70" s="60">
        <f>'A-2 Identify Outlier-Exclusion'!O70</f>
        <v>2877491.82</v>
      </c>
      <c r="P70" s="37">
        <f>IF(OR('A-2 Identify Outlier-Exclusion'!P70="",'A-2 Identify Outlier-Exclusion'!P70&lt;0.9),'A-2 Identify Outlier-Exclusion'!P70,'A-2 Identify Outlier-Exclusion'!$P$126)</f>
        <v>0.53344575441812103</v>
      </c>
      <c r="Q70" s="36">
        <f t="shared" si="1"/>
        <v>53.994727338245568</v>
      </c>
    </row>
    <row r="71" spans="1:17" x14ac:dyDescent="0.25">
      <c r="A71" s="43" t="s">
        <v>365</v>
      </c>
      <c r="B71" s="43" t="s">
        <v>152</v>
      </c>
      <c r="C71" s="60">
        <f>'A-2 Identify Outlier-Exclusion'!C71</f>
        <v>833213.42</v>
      </c>
      <c r="D71" s="61">
        <f>'A-2 Identify Outlier-Exclusion'!D71</f>
        <v>50111.96</v>
      </c>
      <c r="E71" s="36">
        <f t="shared" ref="E71:E124" si="3">IF(IFERROR(C71/D71,0)=0,"",IFERROR(C71/D71,0))</f>
        <v>16.627037138439608</v>
      </c>
      <c r="F71" s="60">
        <f>'A-2 Identify Outlier-Exclusion'!F71</f>
        <v>469662.39</v>
      </c>
      <c r="G71" s="60">
        <f>'A-2 Identify Outlier-Exclusion'!G71</f>
        <v>1495684.7</v>
      </c>
      <c r="H71" s="37">
        <f>IF(OR('A-2 Identify Outlier-Exclusion'!H71="",'A-2 Identify Outlier-Exclusion'!H71&lt;0.5),'A-2 Identify Outlier-Exclusion'!H71,'A-2 Identify Outlier-Exclusion'!$H$126)</f>
        <v>0.31401162959011347</v>
      </c>
      <c r="I71" s="60" t="str">
        <f>'A-2 Identify Outlier-Exclusion'!I71</f>
        <v/>
      </c>
      <c r="J71" s="60" t="str">
        <f>'A-2 Identify Outlier-Exclusion'!J71</f>
        <v/>
      </c>
      <c r="K71" s="60" t="str">
        <f>'A-2 Identify Outlier-Exclusion'!K71</f>
        <v/>
      </c>
      <c r="L71" s="60" t="str">
        <f>'A-2 Identify Outlier-Exclusion'!L71</f>
        <v/>
      </c>
      <c r="M71" s="37" t="str">
        <f>IF(OR('A-2 Identify Outlier-Exclusion'!M71="",'A-2 Identify Outlier-Exclusion'!M71&lt;1.5),'A-2 Identify Outlier-Exclusion'!M71,'A-2 Identify Outlier-Exclusion'!$M$126)</f>
        <v/>
      </c>
      <c r="N71" s="60">
        <f>'A-2 Identify Outlier-Exclusion'!N71</f>
        <v>3210007.68</v>
      </c>
      <c r="O71" s="60">
        <f>'A-2 Identify Outlier-Exclusion'!O71</f>
        <v>2832323.8</v>
      </c>
      <c r="P71" s="37">
        <f>IF(OR('A-2 Identify Outlier-Exclusion'!P71="",'A-2 Identify Outlier-Exclusion'!P71&lt;0.9),'A-2 Identify Outlier-Exclusion'!P71,'A-2 Identify Outlier-Exclusion'!$P$126)</f>
        <v>0.8823417519050919</v>
      </c>
      <c r="Q71" s="36">
        <f>IFERROR((E71+(E71*H71))/(1-P71),"")</f>
        <v>185.69136052334173</v>
      </c>
    </row>
    <row r="72" spans="1:17" x14ac:dyDescent="0.25">
      <c r="A72" s="43" t="s">
        <v>365</v>
      </c>
      <c r="B72" s="43" t="s">
        <v>153</v>
      </c>
      <c r="C72" s="60">
        <f>'A-2 Identify Outlier-Exclusion'!C72</f>
        <v>861909.18</v>
      </c>
      <c r="D72" s="61">
        <f>'A-2 Identify Outlier-Exclusion'!D72</f>
        <v>48477.7</v>
      </c>
      <c r="E72" s="36">
        <f t="shared" si="3"/>
        <v>17.7794982022662</v>
      </c>
      <c r="F72" s="60">
        <f>'A-2 Identify Outlier-Exclusion'!F72</f>
        <v>1379748.3</v>
      </c>
      <c r="G72" s="60">
        <f>'A-2 Identify Outlier-Exclusion'!G72</f>
        <v>5389289.3700000001</v>
      </c>
      <c r="H72" s="37">
        <f>IF(OR('A-2 Identify Outlier-Exclusion'!H72="",'A-2 Identify Outlier-Exclusion'!H72&lt;0.5),'A-2 Identify Outlier-Exclusion'!H72,'A-2 Identify Outlier-Exclusion'!$H$126)</f>
        <v>0.25601674084908155</v>
      </c>
      <c r="I72" s="60" t="str">
        <f>'A-2 Identify Outlier-Exclusion'!I72</f>
        <v/>
      </c>
      <c r="J72" s="60">
        <f>'A-2 Identify Outlier-Exclusion'!J72</f>
        <v>148900.63</v>
      </c>
      <c r="K72" s="60" t="str">
        <f>'A-2 Identify Outlier-Exclusion'!K72</f>
        <v/>
      </c>
      <c r="L72" s="60">
        <f>'A-2 Identify Outlier-Exclusion'!L72</f>
        <v>11513.19</v>
      </c>
      <c r="M72" s="37">
        <f>IF(OR('A-2 Identify Outlier-Exclusion'!M72="",'A-2 Identify Outlier-Exclusion'!M72&lt;1.5),'A-2 Identify Outlier-Exclusion'!M72,'A-2 Identify Outlier-Exclusion'!$M$126)</f>
        <v>0.18611452775105608</v>
      </c>
      <c r="N72" s="60">
        <f>'A-2 Identify Outlier-Exclusion'!N72</f>
        <v>10297373.85</v>
      </c>
      <c r="O72" s="60">
        <f>'A-2 Identify Outlier-Exclusion'!O72</f>
        <v>2732342.44</v>
      </c>
      <c r="P72" s="37">
        <f>IF(OR('A-2 Identify Outlier-Exclusion'!P72="",'A-2 Identify Outlier-Exclusion'!P72&lt;0.9),'A-2 Identify Outlier-Exclusion'!P72,'A-2 Identify Outlier-Exclusion'!$P$126)</f>
        <v>0.26534361865476991</v>
      </c>
      <c r="Q72" s="36">
        <f t="shared" ref="Q72:Q88" si="4">IFERROR((E72+(E72*H72)+(E72*M72))/(1-P72),"")</f>
        <v>34.901174138796577</v>
      </c>
    </row>
    <row r="73" spans="1:17" x14ac:dyDescent="0.25">
      <c r="A73" s="43" t="s">
        <v>365</v>
      </c>
      <c r="B73" s="43" t="s">
        <v>154</v>
      </c>
      <c r="C73" s="60">
        <f>'A-2 Identify Outlier-Exclusion'!C73</f>
        <v>1594187.1</v>
      </c>
      <c r="D73" s="61">
        <f>'A-2 Identify Outlier-Exclusion'!D73</f>
        <v>80156.990000000005</v>
      </c>
      <c r="E73" s="36">
        <f t="shared" si="3"/>
        <v>19.888310426826155</v>
      </c>
      <c r="F73" s="60">
        <f>'A-2 Identify Outlier-Exclusion'!F73</f>
        <v>894798.37</v>
      </c>
      <c r="G73" s="60">
        <f>'A-2 Identify Outlier-Exclusion'!G73</f>
        <v>3980626.52</v>
      </c>
      <c r="H73" s="37">
        <f>IF(OR('A-2 Identify Outlier-Exclusion'!H73="",'A-2 Identify Outlier-Exclusion'!H73&lt;0.5),'A-2 Identify Outlier-Exclusion'!H73,'A-2 Identify Outlier-Exclusion'!$H$126)</f>
        <v>0.22478832553223305</v>
      </c>
      <c r="I73" s="60" t="str">
        <f>'A-2 Identify Outlier-Exclusion'!I73</f>
        <v/>
      </c>
      <c r="J73" s="60">
        <f>'A-2 Identify Outlier-Exclusion'!J73</f>
        <v>203519.49</v>
      </c>
      <c r="K73" s="60" t="str">
        <f>'A-2 Identify Outlier-Exclusion'!K73</f>
        <v/>
      </c>
      <c r="L73" s="60">
        <f>'A-2 Identify Outlier-Exclusion'!L73</f>
        <v>34165.599999999999</v>
      </c>
      <c r="M73" s="37">
        <f>IF(OR('A-2 Identify Outlier-Exclusion'!M73="",'A-2 Identify Outlier-Exclusion'!M73&lt;1.5),'A-2 Identify Outlier-Exclusion'!M73,'A-2 Identify Outlier-Exclusion'!$M$126)</f>
        <v>0.1490948521663486</v>
      </c>
      <c r="N73" s="60">
        <f>'A-2 Identify Outlier-Exclusion'!N73</f>
        <v>6854000.6399999997</v>
      </c>
      <c r="O73" s="60">
        <f>'A-2 Identify Outlier-Exclusion'!O73</f>
        <v>4171645.28</v>
      </c>
      <c r="P73" s="37">
        <f>IF(OR('A-2 Identify Outlier-Exclusion'!P73="",'A-2 Identify Outlier-Exclusion'!P73&lt;0.9),'A-2 Identify Outlier-Exclusion'!P73,'A-2 Identify Outlier-Exclusion'!$P$126)</f>
        <v>0.60864384162065088</v>
      </c>
      <c r="Q73" s="36">
        <f t="shared" si="4"/>
        <v>69.819305364751315</v>
      </c>
    </row>
    <row r="74" spans="1:17" x14ac:dyDescent="0.25">
      <c r="A74" s="43" t="s">
        <v>365</v>
      </c>
      <c r="B74" s="43" t="s">
        <v>155</v>
      </c>
      <c r="C74" s="60">
        <f>'A-2 Identify Outlier-Exclusion'!C74</f>
        <v>540</v>
      </c>
      <c r="D74" s="61">
        <f>'A-2 Identify Outlier-Exclusion'!D74</f>
        <v>18</v>
      </c>
      <c r="E74" s="36">
        <f t="shared" si="3"/>
        <v>30</v>
      </c>
      <c r="F74" s="60">
        <f>'A-2 Identify Outlier-Exclusion'!F74</f>
        <v>10053</v>
      </c>
      <c r="G74" s="60">
        <f>'A-2 Identify Outlier-Exclusion'!G74</f>
        <v>202000</v>
      </c>
      <c r="H74" s="37">
        <f>IF(OR('A-2 Identify Outlier-Exclusion'!H74="",'A-2 Identify Outlier-Exclusion'!H74&lt;0.5),'A-2 Identify Outlier-Exclusion'!H74,'A-2 Identify Outlier-Exclusion'!$H$126)</f>
        <v>4.976732673267327E-2</v>
      </c>
      <c r="I74" s="60" t="str">
        <f>'A-2 Identify Outlier-Exclusion'!I74</f>
        <v/>
      </c>
      <c r="J74" s="60" t="str">
        <f>'A-2 Identify Outlier-Exclusion'!J74</f>
        <v/>
      </c>
      <c r="K74" s="60" t="str">
        <f>'A-2 Identify Outlier-Exclusion'!K74</f>
        <v/>
      </c>
      <c r="L74" s="60" t="str">
        <f>'A-2 Identify Outlier-Exclusion'!L74</f>
        <v/>
      </c>
      <c r="M74" s="37" t="str">
        <f>IF(OR('A-2 Identify Outlier-Exclusion'!M74="",'A-2 Identify Outlier-Exclusion'!M74&lt;1.5),'A-2 Identify Outlier-Exclusion'!M74,'A-2 Identify Outlier-Exclusion'!$M$126)</f>
        <v/>
      </c>
      <c r="N74" s="60">
        <f>'A-2 Identify Outlier-Exclusion'!N74</f>
        <v>253540</v>
      </c>
      <c r="O74" s="60">
        <f>'A-2 Identify Outlier-Exclusion'!O74</f>
        <v>7000</v>
      </c>
      <c r="P74" s="37">
        <f>IF(OR('A-2 Identify Outlier-Exclusion'!P74="",'A-2 Identify Outlier-Exclusion'!P74&lt;0.9),'A-2 Identify Outlier-Exclusion'!P74,'A-2 Identify Outlier-Exclusion'!$P$126)</f>
        <v>2.7609055770292656E-2</v>
      </c>
      <c r="Q74" s="36">
        <f>IFERROR((E74+(E74*H74))/(1-P74),"")</f>
        <v>32.387199807715007</v>
      </c>
    </row>
    <row r="75" spans="1:17" x14ac:dyDescent="0.25">
      <c r="A75" s="43" t="s">
        <v>365</v>
      </c>
      <c r="B75" s="43" t="s">
        <v>370</v>
      </c>
      <c r="C75" s="60">
        <f>'A-2 Identify Outlier-Exclusion'!C75</f>
        <v>3658481</v>
      </c>
      <c r="D75" s="61">
        <f>'A-2 Identify Outlier-Exclusion'!D75</f>
        <v>262978</v>
      </c>
      <c r="E75" s="36">
        <f t="shared" si="3"/>
        <v>13.911737864003832</v>
      </c>
      <c r="F75" s="60">
        <f>'A-2 Identify Outlier-Exclusion'!F75</f>
        <v>2786365</v>
      </c>
      <c r="G75" s="60">
        <f>'A-2 Identify Outlier-Exclusion'!G75</f>
        <v>17871935</v>
      </c>
      <c r="H75" s="37">
        <f>IF(OR('A-2 Identify Outlier-Exclusion'!H75="",'A-2 Identify Outlier-Exclusion'!H75&lt;0.5),'A-2 Identify Outlier-Exclusion'!H75,'A-2 Identify Outlier-Exclusion'!$H$126)</f>
        <v>0.1559072926350728</v>
      </c>
      <c r="I75" s="60" t="str">
        <f>'A-2 Identify Outlier-Exclusion'!I75</f>
        <v/>
      </c>
      <c r="J75" s="60" t="str">
        <f>'A-2 Identify Outlier-Exclusion'!J75</f>
        <v/>
      </c>
      <c r="K75" s="60" t="str">
        <f>'A-2 Identify Outlier-Exclusion'!K75</f>
        <v/>
      </c>
      <c r="L75" s="60" t="str">
        <f>'A-2 Identify Outlier-Exclusion'!L75</f>
        <v/>
      </c>
      <c r="M75" s="37" t="str">
        <f>IF(OR('A-2 Identify Outlier-Exclusion'!M75="",'A-2 Identify Outlier-Exclusion'!M75&lt;1.5),'A-2 Identify Outlier-Exclusion'!M75,'A-2 Identify Outlier-Exclusion'!$M$126)</f>
        <v/>
      </c>
      <c r="N75" s="60">
        <f>'A-2 Identify Outlier-Exclusion'!N75</f>
        <v>23377549</v>
      </c>
      <c r="O75" s="60">
        <f>'A-2 Identify Outlier-Exclusion'!O75</f>
        <v>1187522</v>
      </c>
      <c r="P75" s="37">
        <f>IF(OR('A-2 Identify Outlier-Exclusion'!P75="",'A-2 Identify Outlier-Exclusion'!P75&lt;0.9),'A-2 Identify Outlier-Exclusion'!P75,'A-2 Identify Outlier-Exclusion'!$P$126)</f>
        <v>5.0797540837151066E-2</v>
      </c>
      <c r="Q75" s="36">
        <f>IFERROR((E75+(E75*H75))/(1-P75),"")</f>
        <v>16.941253254244504</v>
      </c>
    </row>
    <row r="76" spans="1:17" x14ac:dyDescent="0.25">
      <c r="A76" s="43" t="s">
        <v>365</v>
      </c>
      <c r="B76" s="43" t="s">
        <v>157</v>
      </c>
      <c r="C76" s="60">
        <f>'A-2 Identify Outlier-Exclusion'!C76</f>
        <v>53947</v>
      </c>
      <c r="D76" s="61">
        <f>'A-2 Identify Outlier-Exclusion'!D76</f>
        <v>2629.5</v>
      </c>
      <c r="E76" s="36">
        <f t="shared" si="3"/>
        <v>20.516067693477847</v>
      </c>
      <c r="F76" s="60">
        <f>'A-2 Identify Outlier-Exclusion'!F76</f>
        <v>337735</v>
      </c>
      <c r="G76" s="60">
        <f>'A-2 Identify Outlier-Exclusion'!G76</f>
        <v>929499</v>
      </c>
      <c r="H76" s="37">
        <f>IF(OR('A-2 Identify Outlier-Exclusion'!H76="",'A-2 Identify Outlier-Exclusion'!H76&lt;0.5),'A-2 Identify Outlier-Exclusion'!H76,'A-2 Identify Outlier-Exclusion'!$H$126)</f>
        <v>0.36335165503136635</v>
      </c>
      <c r="I76" s="60" t="str">
        <f>'A-2 Identify Outlier-Exclusion'!I76</f>
        <v/>
      </c>
      <c r="J76" s="60">
        <f>'A-2 Identify Outlier-Exclusion'!J76</f>
        <v>12741.91</v>
      </c>
      <c r="K76" s="60">
        <f>'A-2 Identify Outlier-Exclusion'!K76</f>
        <v>28675.29</v>
      </c>
      <c r="L76" s="60">
        <f>'A-2 Identify Outlier-Exclusion'!L76</f>
        <v>17130.560000000001</v>
      </c>
      <c r="M76" s="37">
        <f>IF(OR('A-2 Identify Outlier-Exclusion'!M76="",'A-2 Identify Outlier-Exclusion'!M76&lt;1.5),'A-2 Identify Outlier-Exclusion'!M76,'A-2 Identify Outlier-Exclusion'!$M$126)</f>
        <v>1.0852829629080394</v>
      </c>
      <c r="N76" s="60">
        <f>'A-2 Identify Outlier-Exclusion'!N76</f>
        <v>1591444</v>
      </c>
      <c r="O76" s="60">
        <f>'A-2 Identify Outlier-Exclusion'!O76</f>
        <v>440602.58</v>
      </c>
      <c r="P76" s="37">
        <f>IF(OR('A-2 Identify Outlier-Exclusion'!P76="",'A-2 Identify Outlier-Exclusion'!P76&lt;0.9),'A-2 Identify Outlier-Exclusion'!P76,'A-2 Identify Outlier-Exclusion'!$P$126)</f>
        <v>0.27685710587365941</v>
      </c>
      <c r="Q76" s="36">
        <f t="shared" si="4"/>
        <v>69.469469984809521</v>
      </c>
    </row>
    <row r="77" spans="1:17" x14ac:dyDescent="0.25">
      <c r="A77" s="43" t="s">
        <v>365</v>
      </c>
      <c r="B77" s="43" t="s">
        <v>158</v>
      </c>
      <c r="C77" s="60">
        <f>'A-2 Identify Outlier-Exclusion'!C77</f>
        <v>114193.55</v>
      </c>
      <c r="D77" s="61">
        <f>'A-2 Identify Outlier-Exclusion'!D77</f>
        <v>11862.5</v>
      </c>
      <c r="E77" s="36">
        <f t="shared" si="3"/>
        <v>9.6264320337197056</v>
      </c>
      <c r="F77" s="60">
        <f>'A-2 Identify Outlier-Exclusion'!F77</f>
        <v>30213.19</v>
      </c>
      <c r="G77" s="60">
        <f>'A-2 Identify Outlier-Exclusion'!G77</f>
        <v>224219.51</v>
      </c>
      <c r="H77" s="37">
        <f>IF(OR('A-2 Identify Outlier-Exclusion'!H77="",'A-2 Identify Outlier-Exclusion'!H77&lt;0.5),'A-2 Identify Outlier-Exclusion'!H77,'A-2 Identify Outlier-Exclusion'!$H$126)</f>
        <v>0.13474826521563621</v>
      </c>
      <c r="I77" s="60">
        <f>'A-2 Identify Outlier-Exclusion'!I77</f>
        <v>72000</v>
      </c>
      <c r="J77" s="60">
        <f>'A-2 Identify Outlier-Exclusion'!J77</f>
        <v>110025.96</v>
      </c>
      <c r="K77" s="60" t="str">
        <f>'A-2 Identify Outlier-Exclusion'!K77</f>
        <v/>
      </c>
      <c r="L77" s="60">
        <f>'A-2 Identify Outlier-Exclusion'!L77</f>
        <v>5000</v>
      </c>
      <c r="M77" s="37">
        <f>IF(OR('A-2 Identify Outlier-Exclusion'!M77="",'A-2 Identify Outlier-Exclusion'!M77&lt;1.5),'A-2 Identify Outlier-Exclusion'!M77,'A-2 Identify Outlier-Exclusion'!$M$126)</f>
        <v>0.61777628709480004</v>
      </c>
      <c r="N77" s="60">
        <f>'A-2 Identify Outlier-Exclusion'!N77</f>
        <v>787871.69</v>
      </c>
      <c r="O77" s="60">
        <f>'A-2 Identify Outlier-Exclusion'!O77</f>
        <v>422845.68</v>
      </c>
      <c r="P77" s="37">
        <f>IF(OR('A-2 Identify Outlier-Exclusion'!P77="",'A-2 Identify Outlier-Exclusion'!P77&lt;0.9),'A-2 Identify Outlier-Exclusion'!P77,'A-2 Identify Outlier-Exclusion'!$P$126)</f>
        <v>0.53669358268222589</v>
      </c>
      <c r="Q77" s="36">
        <f t="shared" si="4"/>
        <v>36.413392648240048</v>
      </c>
    </row>
    <row r="78" spans="1:17" x14ac:dyDescent="0.25">
      <c r="A78" s="43" t="s">
        <v>365</v>
      </c>
      <c r="B78" s="43" t="s">
        <v>159</v>
      </c>
      <c r="C78" s="60">
        <f>'A-2 Identify Outlier-Exclusion'!C78</f>
        <v>385233</v>
      </c>
      <c r="D78" s="61">
        <f>'A-2 Identify Outlier-Exclusion'!D78</f>
        <v>7815</v>
      </c>
      <c r="E78" s="36">
        <f t="shared" si="3"/>
        <v>49.294049904030707</v>
      </c>
      <c r="F78" s="60">
        <f>'A-2 Identify Outlier-Exclusion'!F78</f>
        <v>55081</v>
      </c>
      <c r="G78" s="60">
        <f>'A-2 Identify Outlier-Exclusion'!G78</f>
        <v>461328</v>
      </c>
      <c r="H78" s="37">
        <f>IF(OR('A-2 Identify Outlier-Exclusion'!H78="",'A-2 Identify Outlier-Exclusion'!H78&lt;0.5),'A-2 Identify Outlier-Exclusion'!H78,'A-2 Identify Outlier-Exclusion'!$H$126)</f>
        <v>0.11939661152152048</v>
      </c>
      <c r="I78" s="60">
        <f>'A-2 Identify Outlier-Exclusion'!I78</f>
        <v>1483720</v>
      </c>
      <c r="J78" s="60">
        <f>'A-2 Identify Outlier-Exclusion'!J78</f>
        <v>110034</v>
      </c>
      <c r="K78" s="60" t="str">
        <f>'A-2 Identify Outlier-Exclusion'!K78</f>
        <v/>
      </c>
      <c r="L78" s="60">
        <f>'A-2 Identify Outlier-Exclusion'!L78</f>
        <v>9153</v>
      </c>
      <c r="M78" s="37">
        <f>IF(OR('A-2 Identify Outlier-Exclusion'!M78="",'A-2 Identify Outlier-Exclusion'!M78&lt;1.5),'A-2 Identify Outlier-Exclusion'!M78,'A-2 Identify Outlier-Exclusion'!$M$126)</f>
        <v>6.3772069174559229E-2</v>
      </c>
      <c r="N78" s="60">
        <f>'A-2 Identify Outlier-Exclusion'!N78</f>
        <v>2924852</v>
      </c>
      <c r="O78" s="60">
        <f>'A-2 Identify Outlier-Exclusion'!O78</f>
        <v>925843</v>
      </c>
      <c r="P78" s="37">
        <f>IF(OR('A-2 Identify Outlier-Exclusion'!P78="",'A-2 Identify Outlier-Exclusion'!P78&lt;0.9),'A-2 Identify Outlier-Exclusion'!P78,'A-2 Identify Outlier-Exclusion'!$P$126)</f>
        <v>0.31654353792944051</v>
      </c>
      <c r="Q78" s="36">
        <f t="shared" si="4"/>
        <v>85.335612768114402</v>
      </c>
    </row>
    <row r="79" spans="1:17" x14ac:dyDescent="0.25">
      <c r="A79" s="43" t="s">
        <v>365</v>
      </c>
      <c r="B79" s="43" t="s">
        <v>160</v>
      </c>
      <c r="C79" s="60">
        <f>'A-2 Identify Outlier-Exclusion'!C79</f>
        <v>573299</v>
      </c>
      <c r="D79" s="61">
        <f>'A-2 Identify Outlier-Exclusion'!D79</f>
        <v>17763</v>
      </c>
      <c r="E79" s="36">
        <f t="shared" si="3"/>
        <v>32.274897258346002</v>
      </c>
      <c r="F79" s="60">
        <f>'A-2 Identify Outlier-Exclusion'!F79</f>
        <v>185942</v>
      </c>
      <c r="G79" s="60">
        <f>'A-2 Identify Outlier-Exclusion'!G79</f>
        <v>686740</v>
      </c>
      <c r="H79" s="37">
        <f>IF(OR('A-2 Identify Outlier-Exclusion'!H79="",'A-2 Identify Outlier-Exclusion'!H79&lt;0.5),'A-2 Identify Outlier-Exclusion'!H79,'A-2 Identify Outlier-Exclusion'!$H$126)</f>
        <v>0.27076040422867459</v>
      </c>
      <c r="I79" s="60" t="str">
        <f>'A-2 Identify Outlier-Exclusion'!I79</f>
        <v/>
      </c>
      <c r="J79" s="60">
        <f>'A-2 Identify Outlier-Exclusion'!J79</f>
        <v>113441</v>
      </c>
      <c r="K79" s="60">
        <f>'A-2 Identify Outlier-Exclusion'!K79</f>
        <v>14360</v>
      </c>
      <c r="L79" s="60">
        <f>'A-2 Identify Outlier-Exclusion'!L79</f>
        <v>24806</v>
      </c>
      <c r="M79" s="37">
        <f>IF(OR('A-2 Identify Outlier-Exclusion'!M79="",'A-2 Identify Outlier-Exclusion'!M79&lt;1.5),'A-2 Identify Outlier-Exclusion'!M79,'A-2 Identify Outlier-Exclusion'!$M$126)</f>
        <v>0.26619094050399528</v>
      </c>
      <c r="N79" s="60">
        <f>'A-2 Identify Outlier-Exclusion'!N79</f>
        <v>911848</v>
      </c>
      <c r="O79" s="60">
        <f>'A-2 Identify Outlier-Exclusion'!O79</f>
        <v>261077</v>
      </c>
      <c r="P79" s="37">
        <f>IF(OR('A-2 Identify Outlier-Exclusion'!P79="",'A-2 Identify Outlier-Exclusion'!P79&lt;0.9),'A-2 Identify Outlier-Exclusion'!P79,'A-2 Identify Outlier-Exclusion'!$P$126)</f>
        <v>0.28631635974416791</v>
      </c>
      <c r="Q79" s="36">
        <f t="shared" si="4"/>
        <v>69.505511888351407</v>
      </c>
    </row>
    <row r="80" spans="1:17" x14ac:dyDescent="0.25">
      <c r="A80" s="43" t="s">
        <v>365</v>
      </c>
      <c r="B80" s="43" t="s">
        <v>161</v>
      </c>
      <c r="C80" s="60">
        <f>'A-2 Identify Outlier-Exclusion'!C80</f>
        <v>576470.36</v>
      </c>
      <c r="D80" s="61">
        <f>'A-2 Identify Outlier-Exclusion'!D80</f>
        <v>35071</v>
      </c>
      <c r="E80" s="36">
        <f t="shared" si="3"/>
        <v>16.43723760371817</v>
      </c>
      <c r="F80" s="60">
        <f>'A-2 Identify Outlier-Exclusion'!F80</f>
        <v>105814.93</v>
      </c>
      <c r="G80" s="60">
        <f>'A-2 Identify Outlier-Exclusion'!G80</f>
        <v>748173.71</v>
      </c>
      <c r="H80" s="37">
        <f>IF(OR('A-2 Identify Outlier-Exclusion'!H80="",'A-2 Identify Outlier-Exclusion'!H80&lt;0.5),'A-2 Identify Outlier-Exclusion'!H80,'A-2 Identify Outlier-Exclusion'!$H$126)</f>
        <v>0.14143096527676707</v>
      </c>
      <c r="I80" s="60" t="str">
        <f>'A-2 Identify Outlier-Exclusion'!I80</f>
        <v/>
      </c>
      <c r="J80" s="60">
        <f>'A-2 Identify Outlier-Exclusion'!J80</f>
        <v>160583.35</v>
      </c>
      <c r="K80" s="60">
        <f>'A-2 Identify Outlier-Exclusion'!K80</f>
        <v>11120</v>
      </c>
      <c r="L80" s="60" t="str">
        <f>'A-2 Identify Outlier-Exclusion'!L80</f>
        <v/>
      </c>
      <c r="M80" s="37">
        <f>IF(OR('A-2 Identify Outlier-Exclusion'!M80="",'A-2 Identify Outlier-Exclusion'!M80&lt;1.5),'A-2 Identify Outlier-Exclusion'!M80,'A-2 Identify Outlier-Exclusion'!$M$126)</f>
        <v>0.29785286792542121</v>
      </c>
      <c r="N80" s="60">
        <f>'A-2 Identify Outlier-Exclusion'!N80</f>
        <v>748173.71</v>
      </c>
      <c r="O80" s="60">
        <f>'A-2 Identify Outlier-Exclusion'!O80</f>
        <v>145273.65</v>
      </c>
      <c r="P80" s="37">
        <f>IF(OR('A-2 Identify Outlier-Exclusion'!P80="",'A-2 Identify Outlier-Exclusion'!P80&lt;0.9),'A-2 Identify Outlier-Exclusion'!P80,'A-2 Identify Outlier-Exclusion'!$P$126)</f>
        <v>0.19417101678165088</v>
      </c>
      <c r="Q80" s="36">
        <f t="shared" si="4"/>
        <v>29.358400899219404</v>
      </c>
    </row>
    <row r="81" spans="1:17" x14ac:dyDescent="0.25">
      <c r="A81" s="43" t="s">
        <v>365</v>
      </c>
      <c r="B81" s="43" t="s">
        <v>162</v>
      </c>
      <c r="C81" s="60">
        <f>'A-2 Identify Outlier-Exclusion'!C81</f>
        <v>647530.18000000005</v>
      </c>
      <c r="D81" s="61">
        <f>'A-2 Identify Outlier-Exclusion'!D81</f>
        <v>32570.14</v>
      </c>
      <c r="E81" s="36">
        <f t="shared" si="3"/>
        <v>19.881099068042079</v>
      </c>
      <c r="F81" s="60">
        <f>'A-2 Identify Outlier-Exclusion'!F81</f>
        <v>140569.20000000001</v>
      </c>
      <c r="G81" s="60">
        <f>'A-2 Identify Outlier-Exclusion'!G81</f>
        <v>871952.08</v>
      </c>
      <c r="H81" s="37">
        <f>IF(OR('A-2 Identify Outlier-Exclusion'!H81="",'A-2 Identify Outlier-Exclusion'!H81&lt;0.5),'A-2 Identify Outlier-Exclusion'!H81,'A-2 Identify Outlier-Exclusion'!$H$126)</f>
        <v>0.16121207027799053</v>
      </c>
      <c r="I81" s="60" t="str">
        <f>'A-2 Identify Outlier-Exclusion'!I81</f>
        <v/>
      </c>
      <c r="J81" s="60">
        <f>'A-2 Identify Outlier-Exclusion'!J81</f>
        <v>67890.600000000006</v>
      </c>
      <c r="K81" s="60">
        <f>'A-2 Identify Outlier-Exclusion'!K81</f>
        <v>7308</v>
      </c>
      <c r="L81" s="60">
        <f>'A-2 Identify Outlier-Exclusion'!L81</f>
        <v>402584.49</v>
      </c>
      <c r="M81" s="37">
        <f>IF(OR('A-2 Identify Outlier-Exclusion'!M81="",'A-2 Identify Outlier-Exclusion'!M81&lt;1.5),'A-2 Identify Outlier-Exclusion'!M81,'A-2 Identify Outlier-Exclusion'!$M$126)</f>
        <v>0.73785455065584726</v>
      </c>
      <c r="N81" s="60">
        <f>'A-2 Identify Outlier-Exclusion'!N81</f>
        <v>1225672.75</v>
      </c>
      <c r="O81" s="60">
        <f>'A-2 Identify Outlier-Exclusion'!O81</f>
        <v>213151.47</v>
      </c>
      <c r="P81" s="37">
        <f>IF(OR('A-2 Identify Outlier-Exclusion'!P81="",'A-2 Identify Outlier-Exclusion'!P81&lt;0.9),'A-2 Identify Outlier-Exclusion'!P81,'A-2 Identify Outlier-Exclusion'!$P$126)</f>
        <v>0.17390569383222398</v>
      </c>
      <c r="Q81" s="36">
        <f t="shared" si="4"/>
        <v>45.70365797912855</v>
      </c>
    </row>
    <row r="82" spans="1:17" x14ac:dyDescent="0.25">
      <c r="A82" s="43" t="s">
        <v>365</v>
      </c>
      <c r="B82" s="43" t="s">
        <v>163</v>
      </c>
      <c r="C82" s="60">
        <f>'A-2 Identify Outlier-Exclusion'!C82</f>
        <v>169804</v>
      </c>
      <c r="D82" s="61">
        <f>'A-2 Identify Outlier-Exclusion'!D82</f>
        <v>9849.76</v>
      </c>
      <c r="E82" s="36">
        <f t="shared" si="3"/>
        <v>17.239404817985413</v>
      </c>
      <c r="F82" s="60">
        <f>'A-2 Identify Outlier-Exclusion'!F82</f>
        <v>29023</v>
      </c>
      <c r="G82" s="60">
        <f>'A-2 Identify Outlier-Exclusion'!G82</f>
        <v>296170</v>
      </c>
      <c r="H82" s="37">
        <f>IF(OR('A-2 Identify Outlier-Exclusion'!H82="",'A-2 Identify Outlier-Exclusion'!H82&lt;0.5),'A-2 Identify Outlier-Exclusion'!H82,'A-2 Identify Outlier-Exclusion'!$H$126)</f>
        <v>9.7994395110916024E-2</v>
      </c>
      <c r="I82" s="60" t="str">
        <f>'A-2 Identify Outlier-Exclusion'!I82</f>
        <v/>
      </c>
      <c r="J82" s="60" t="str">
        <f>'A-2 Identify Outlier-Exclusion'!J82</f>
        <v/>
      </c>
      <c r="K82" s="60">
        <f>'A-2 Identify Outlier-Exclusion'!K82</f>
        <v>1714</v>
      </c>
      <c r="L82" s="60">
        <f>'A-2 Identify Outlier-Exclusion'!L82</f>
        <v>6756</v>
      </c>
      <c r="M82" s="37">
        <f>IF(OR('A-2 Identify Outlier-Exclusion'!M82="",'A-2 Identify Outlier-Exclusion'!M82&lt;1.5),'A-2 Identify Outlier-Exclusion'!M82,'A-2 Identify Outlier-Exclusion'!$M$126)</f>
        <v>4.9881039315917176E-2</v>
      </c>
      <c r="N82" s="60">
        <f>'A-2 Identify Outlier-Exclusion'!N82</f>
        <v>489578</v>
      </c>
      <c r="O82" s="60">
        <f>'A-2 Identify Outlier-Exclusion'!O82</f>
        <v>189161</v>
      </c>
      <c r="P82" s="37">
        <f>IF(OR('A-2 Identify Outlier-Exclusion'!P82="",'A-2 Identify Outlier-Exclusion'!P82&lt;0.9),'A-2 Identify Outlier-Exclusion'!P82,'A-2 Identify Outlier-Exclusion'!$P$126)</f>
        <v>0.38637561328327663</v>
      </c>
      <c r="Q82" s="36">
        <f t="shared" si="4"/>
        <v>32.248863837675991</v>
      </c>
    </row>
    <row r="83" spans="1:17" x14ac:dyDescent="0.25">
      <c r="A83" s="43" t="s">
        <v>365</v>
      </c>
      <c r="B83" s="43" t="s">
        <v>164</v>
      </c>
      <c r="C83" s="60">
        <f>'A-2 Identify Outlier-Exclusion'!C83</f>
        <v>365201.43</v>
      </c>
      <c r="D83" s="61">
        <f>'A-2 Identify Outlier-Exclusion'!D83</f>
        <v>16560</v>
      </c>
      <c r="E83" s="36">
        <f t="shared" si="3"/>
        <v>22.05322644927536</v>
      </c>
      <c r="F83" s="60">
        <f>'A-2 Identify Outlier-Exclusion'!F83</f>
        <v>27242.66</v>
      </c>
      <c r="G83" s="60">
        <f>'A-2 Identify Outlier-Exclusion'!G83</f>
        <v>365201.45</v>
      </c>
      <c r="H83" s="37">
        <f>IF(OR('A-2 Identify Outlier-Exclusion'!H83="",'A-2 Identify Outlier-Exclusion'!H83&lt;0.5),'A-2 Identify Outlier-Exclusion'!H83,'A-2 Identify Outlier-Exclusion'!$H$126)</f>
        <v>7.459625365671467E-2</v>
      </c>
      <c r="I83" s="60">
        <f>'A-2 Identify Outlier-Exclusion'!I83</f>
        <v>40959.199999999997</v>
      </c>
      <c r="J83" s="60">
        <f>'A-2 Identify Outlier-Exclusion'!J83</f>
        <v>93465.97</v>
      </c>
      <c r="K83" s="60">
        <f>'A-2 Identify Outlier-Exclusion'!K83</f>
        <v>11223.47</v>
      </c>
      <c r="L83" s="60">
        <f>'A-2 Identify Outlier-Exclusion'!L83</f>
        <v>2465479</v>
      </c>
      <c r="M83" s="37">
        <f>IF(OR('A-2 Identify Outlier-Exclusion'!M83="",'A-2 Identify Outlier-Exclusion'!M83&lt;1.5),'A-2 Identify Outlier-Exclusion'!M83,'A-2 Identify Outlier-Exclusion'!$M$126)</f>
        <v>0.19010516950587109</v>
      </c>
      <c r="N83" s="60">
        <f>'A-2 Identify Outlier-Exclusion'!N83</f>
        <v>508495</v>
      </c>
      <c r="O83" s="60">
        <f>'A-2 Identify Outlier-Exclusion'!O83</f>
        <v>30645.75</v>
      </c>
      <c r="P83" s="37">
        <f>IF(OR('A-2 Identify Outlier-Exclusion'!P83="",'A-2 Identify Outlier-Exclusion'!P83&lt;0.9),'A-2 Identify Outlier-Exclusion'!P83,'A-2 Identify Outlier-Exclusion'!$P$126)</f>
        <v>6.0267554253237494E-2</v>
      </c>
      <c r="Q83" s="36">
        <f t="shared" si="4"/>
        <v>29.679455042718914</v>
      </c>
    </row>
    <row r="84" spans="1:17" x14ac:dyDescent="0.25">
      <c r="A84" s="43" t="s">
        <v>365</v>
      </c>
      <c r="B84" s="43" t="s">
        <v>165</v>
      </c>
      <c r="C84" s="60">
        <f>'A-2 Identify Outlier-Exclusion'!C84</f>
        <v>55570.15</v>
      </c>
      <c r="D84" s="61">
        <f>'A-2 Identify Outlier-Exclusion'!D84</f>
        <v>4200</v>
      </c>
      <c r="E84" s="36">
        <f t="shared" si="3"/>
        <v>13.230988095238095</v>
      </c>
      <c r="F84" s="60">
        <f>'A-2 Identify Outlier-Exclusion'!F84</f>
        <v>6009.91</v>
      </c>
      <c r="G84" s="60">
        <f>'A-2 Identify Outlier-Exclusion'!G84</f>
        <v>183095.56</v>
      </c>
      <c r="H84" s="37">
        <f>IF(OR('A-2 Identify Outlier-Exclusion'!H84="",'A-2 Identify Outlier-Exclusion'!H84&lt;0.5),'A-2 Identify Outlier-Exclusion'!H84,'A-2 Identify Outlier-Exclusion'!$H$126)</f>
        <v>3.2823898078140179E-2</v>
      </c>
      <c r="I84" s="60" t="str">
        <f>'A-2 Identify Outlier-Exclusion'!I84</f>
        <v/>
      </c>
      <c r="J84" s="60" t="str">
        <f>'A-2 Identify Outlier-Exclusion'!J84</f>
        <v/>
      </c>
      <c r="K84" s="60" t="str">
        <f>'A-2 Identify Outlier-Exclusion'!K84</f>
        <v/>
      </c>
      <c r="L84" s="60">
        <f>'A-2 Identify Outlier-Exclusion'!L84</f>
        <v>33733</v>
      </c>
      <c r="M84" s="37">
        <f>IF(OR('A-2 Identify Outlier-Exclusion'!M84="",'A-2 Identify Outlier-Exclusion'!M84&lt;1.5),'A-2 Identify Outlier-Exclusion'!M84,'A-2 Identify Outlier-Exclusion'!$M$126)</f>
        <v>0.60703453202843616</v>
      </c>
      <c r="N84" s="60">
        <f>'A-2 Identify Outlier-Exclusion'!N84</f>
        <v>236573.39</v>
      </c>
      <c r="O84" s="60">
        <f>'A-2 Identify Outlier-Exclusion'!O84</f>
        <v>11609</v>
      </c>
      <c r="P84" s="37">
        <f>IF(OR('A-2 Identify Outlier-Exclusion'!P84="",'A-2 Identify Outlier-Exclusion'!P84&lt;0.9),'A-2 Identify Outlier-Exclusion'!P84,'A-2 Identify Outlier-Exclusion'!$P$126)</f>
        <v>4.9071453048882628E-2</v>
      </c>
      <c r="Q84" s="36">
        <f t="shared" si="4"/>
        <v>22.816590622062037</v>
      </c>
    </row>
    <row r="85" spans="1:17" x14ac:dyDescent="0.25">
      <c r="A85" s="43" t="s">
        <v>365</v>
      </c>
      <c r="B85" s="43" t="s">
        <v>166</v>
      </c>
      <c r="C85" s="60">
        <f>'A-2 Identify Outlier-Exclusion'!C85</f>
        <v>4684351</v>
      </c>
      <c r="D85" s="61">
        <f>'A-2 Identify Outlier-Exclusion'!D85</f>
        <v>279190</v>
      </c>
      <c r="E85" s="36">
        <f t="shared" si="3"/>
        <v>16.778362405530284</v>
      </c>
      <c r="F85" s="60">
        <f>'A-2 Identify Outlier-Exclusion'!F85</f>
        <v>1055011</v>
      </c>
      <c r="G85" s="60">
        <f>'A-2 Identify Outlier-Exclusion'!G85</f>
        <v>6455111</v>
      </c>
      <c r="H85" s="37">
        <f>IF(OR('A-2 Identify Outlier-Exclusion'!H85="",'A-2 Identify Outlier-Exclusion'!H85&lt;0.5),'A-2 Identify Outlier-Exclusion'!H85,'A-2 Identify Outlier-Exclusion'!$H$126)</f>
        <v>0.16343808805146806</v>
      </c>
      <c r="I85" s="60" t="str">
        <f>'A-2 Identify Outlier-Exclusion'!I85</f>
        <v/>
      </c>
      <c r="J85" s="60">
        <f>'A-2 Identify Outlier-Exclusion'!J85</f>
        <v>518903</v>
      </c>
      <c r="K85" s="60">
        <f>'A-2 Identify Outlier-Exclusion'!K85</f>
        <v>72505</v>
      </c>
      <c r="L85" s="60">
        <f>'A-2 Identify Outlier-Exclusion'!L85</f>
        <v>365291</v>
      </c>
      <c r="M85" s="37">
        <f>IF(OR('A-2 Identify Outlier-Exclusion'!M85="",'A-2 Identify Outlier-Exclusion'!M85&lt;1.5),'A-2 Identify Outlier-Exclusion'!M85,'A-2 Identify Outlier-Exclusion'!$M$126)</f>
        <v>0.20423298766467329</v>
      </c>
      <c r="N85" s="60">
        <f>'A-2 Identify Outlier-Exclusion'!N85</f>
        <v>8159696</v>
      </c>
      <c r="O85" s="60">
        <f>'A-2 Identify Outlier-Exclusion'!O85</f>
        <v>954426</v>
      </c>
      <c r="P85" s="37">
        <f>IF(OR('A-2 Identify Outlier-Exclusion'!P85="",'A-2 Identify Outlier-Exclusion'!P85&lt;0.9),'A-2 Identify Outlier-Exclusion'!P85,'A-2 Identify Outlier-Exclusion'!$P$126)</f>
        <v>0.11696832823183609</v>
      </c>
      <c r="Q85" s="36">
        <f t="shared" si="4"/>
        <v>25.986928548075426</v>
      </c>
    </row>
    <row r="86" spans="1:17" x14ac:dyDescent="0.25">
      <c r="A86" s="43" t="s">
        <v>365</v>
      </c>
      <c r="B86" s="43" t="s">
        <v>167</v>
      </c>
      <c r="C86" s="60">
        <f>'A-2 Identify Outlier-Exclusion'!C86</f>
        <v>152441.92000000001</v>
      </c>
      <c r="D86" s="61">
        <f>'A-2 Identify Outlier-Exclusion'!D86</f>
        <v>10162</v>
      </c>
      <c r="E86" s="36">
        <f t="shared" si="3"/>
        <v>15.001172997441449</v>
      </c>
      <c r="F86" s="60">
        <f>'A-2 Identify Outlier-Exclusion'!F86</f>
        <v>33532.980000000003</v>
      </c>
      <c r="G86" s="60">
        <f>'A-2 Identify Outlier-Exclusion'!G86</f>
        <v>196441.92</v>
      </c>
      <c r="H86" s="37">
        <f>IF(OR('A-2 Identify Outlier-Exclusion'!H86="",'A-2 Identify Outlier-Exclusion'!H86&lt;0.5),'A-2 Identify Outlier-Exclusion'!H86,'A-2 Identify Outlier-Exclusion'!$H$126)</f>
        <v>0.17070175245690941</v>
      </c>
      <c r="I86" s="60" t="str">
        <f>'A-2 Identify Outlier-Exclusion'!I86</f>
        <v/>
      </c>
      <c r="J86" s="60">
        <f>'A-2 Identify Outlier-Exclusion'!J86</f>
        <v>44000</v>
      </c>
      <c r="K86" s="60" t="str">
        <f>'A-2 Identify Outlier-Exclusion'!K86</f>
        <v/>
      </c>
      <c r="L86" s="60">
        <f>'A-2 Identify Outlier-Exclusion'!L86</f>
        <v>44354.7</v>
      </c>
      <c r="M86" s="37">
        <f>IF(OR('A-2 Identify Outlier-Exclusion'!M86="",'A-2 Identify Outlier-Exclusion'!M86&lt;1.5),'A-2 Identify Outlier-Exclusion'!M86,'A-2 Identify Outlier-Exclusion'!$M$126)</f>
        <v>0.57959582246143315</v>
      </c>
      <c r="N86" s="60">
        <f>'A-2 Identify Outlier-Exclusion'!N86</f>
        <v>232491.32</v>
      </c>
      <c r="O86" s="60">
        <f>'A-2 Identify Outlier-Exclusion'!O86</f>
        <v>15739.24</v>
      </c>
      <c r="P86" s="37">
        <f>IF(OR('A-2 Identify Outlier-Exclusion'!P86="",'A-2 Identify Outlier-Exclusion'!P86&lt;0.9),'A-2 Identify Outlier-Exclusion'!P86,'A-2 Identify Outlier-Exclusion'!$P$126)</f>
        <v>6.7698183312822166E-2</v>
      </c>
      <c r="Q86" s="36">
        <f t="shared" si="4"/>
        <v>28.163107963954918</v>
      </c>
    </row>
    <row r="87" spans="1:17" x14ac:dyDescent="0.25">
      <c r="A87" s="43" t="s">
        <v>365</v>
      </c>
      <c r="B87" s="43" t="s">
        <v>168</v>
      </c>
      <c r="C87" s="60">
        <f>'A-2 Identify Outlier-Exclusion'!C87</f>
        <v>55495</v>
      </c>
      <c r="D87" s="61">
        <f>'A-2 Identify Outlier-Exclusion'!D87</f>
        <v>2219</v>
      </c>
      <c r="E87" s="36">
        <f t="shared" si="3"/>
        <v>25.009013068949976</v>
      </c>
      <c r="F87" s="60">
        <f>'A-2 Identify Outlier-Exclusion'!F87</f>
        <v>51142</v>
      </c>
      <c r="G87" s="60">
        <f>'A-2 Identify Outlier-Exclusion'!G87</f>
        <v>80897</v>
      </c>
      <c r="H87" s="37">
        <f>IF(OR('A-2 Identify Outlier-Exclusion'!H87="",'A-2 Identify Outlier-Exclusion'!H87&lt;0.5),'A-2 Identify Outlier-Exclusion'!H87,'A-2 Identify Outlier-Exclusion'!$H$126)</f>
        <v>0.13642665296968531</v>
      </c>
      <c r="I87" s="60" t="str">
        <f>'A-2 Identify Outlier-Exclusion'!I87</f>
        <v/>
      </c>
      <c r="J87" s="60">
        <f>'A-2 Identify Outlier-Exclusion'!J87</f>
        <v>28996</v>
      </c>
      <c r="K87" s="60">
        <f>'A-2 Identify Outlier-Exclusion'!K87</f>
        <v>3716</v>
      </c>
      <c r="L87" s="60">
        <f>'A-2 Identify Outlier-Exclusion'!L87</f>
        <v>0</v>
      </c>
      <c r="M87" s="37">
        <f>IF(OR('A-2 Identify Outlier-Exclusion'!M87="",'A-2 Identify Outlier-Exclusion'!M87&lt;1.5),'A-2 Identify Outlier-Exclusion'!M87,'A-2 Identify Outlier-Exclusion'!$M$126)</f>
        <v>0.5894585097756555</v>
      </c>
      <c r="N87" s="60">
        <f>'A-2 Identify Outlier-Exclusion'!N87</f>
        <v>196154</v>
      </c>
      <c r="O87" s="60">
        <f>'A-2 Identify Outlier-Exclusion'!O87</f>
        <v>11122</v>
      </c>
      <c r="P87" s="37">
        <f>IF(OR('A-2 Identify Outlier-Exclusion'!P87="",'A-2 Identify Outlier-Exclusion'!P87&lt;0.9),'A-2 Identify Outlier-Exclusion'!P87,'A-2 Identify Outlier-Exclusion'!$P$126)</f>
        <v>5.6700347686001816E-2</v>
      </c>
      <c r="Q87" s="36">
        <f t="shared" si="4"/>
        <v>45.757129756936905</v>
      </c>
    </row>
    <row r="88" spans="1:17" x14ac:dyDescent="0.25">
      <c r="A88" s="43" t="s">
        <v>365</v>
      </c>
      <c r="B88" s="43" t="s">
        <v>360</v>
      </c>
      <c r="C88" s="60"/>
      <c r="D88" s="61"/>
      <c r="E88" s="36">
        <v>18</v>
      </c>
      <c r="F88" s="60">
        <f>'A-2 Identify Outlier-Exclusion'!F88</f>
        <v>0</v>
      </c>
      <c r="G88" s="60">
        <f>'A-2 Identify Outlier-Exclusion'!G88</f>
        <v>0</v>
      </c>
      <c r="H88" s="37">
        <f>IF(OR('A-2 Identify Outlier-Exclusion'!H88="",'A-2 Identify Outlier-Exclusion'!H88&lt;0.5),'A-2 Identify Outlier-Exclusion'!H88,'A-2 Identify Outlier-Exclusion'!$H$126)</f>
        <v>0.2</v>
      </c>
      <c r="I88" s="60">
        <f>'A-2 Identify Outlier-Exclusion'!I88</f>
        <v>0</v>
      </c>
      <c r="J88" s="60">
        <f>'A-2 Identify Outlier-Exclusion'!J88</f>
        <v>0</v>
      </c>
      <c r="K88" s="60">
        <f>'A-2 Identify Outlier-Exclusion'!K88</f>
        <v>0</v>
      </c>
      <c r="L88" s="60">
        <f>'A-2 Identify Outlier-Exclusion'!L88</f>
        <v>47532</v>
      </c>
      <c r="M88" s="37">
        <f>IF(OR('A-2 Identify Outlier-Exclusion'!M88="",'A-2 Identify Outlier-Exclusion'!M88&lt;1.5),'A-2 Identify Outlier-Exclusion'!M88,'A-2 Identify Outlier-Exclusion'!$M$126)</f>
        <v>0.86054149022434445</v>
      </c>
      <c r="N88" s="60">
        <f>'A-2 Identify Outlier-Exclusion'!N88</f>
        <v>0</v>
      </c>
      <c r="O88" s="60">
        <f>'A-2 Identify Outlier-Exclusion'!O88</f>
        <v>0</v>
      </c>
      <c r="P88" s="37">
        <f>IF(OR('A-2 Identify Outlier-Exclusion'!P88="",'A-2 Identify Outlier-Exclusion'!P88&lt;0.9),'A-2 Identify Outlier-Exclusion'!P88,'A-2 Identify Outlier-Exclusion'!$P$126)</f>
        <v>0.06</v>
      </c>
      <c r="Q88" s="36">
        <f t="shared" si="4"/>
        <v>39.457177472381069</v>
      </c>
    </row>
    <row r="89" spans="1:17" x14ac:dyDescent="0.25">
      <c r="A89" s="43" t="s">
        <v>365</v>
      </c>
      <c r="B89" s="43" t="s">
        <v>169</v>
      </c>
      <c r="C89" s="60">
        <f>IF(VLOOKUP(B89,'[1]UT Rate Study HCBS Survey'!$B$6:$FG$139,129,0)=0,"",VLOOKUP(B89,'[1]UT Rate Study HCBS Survey'!$B$6:$FG$139,129,0))</f>
        <v>3673.2</v>
      </c>
      <c r="D89" s="61">
        <f>IF(VLOOKUP(B89,'[1]UT Rate Study HCBS Survey'!$B$6:$FG$139,130,0)=0,"",VLOOKUP(B89,'[1]UT Rate Study HCBS Survey'!$B$6:$FG$139,130,0))</f>
        <v>194.73</v>
      </c>
      <c r="E89" s="36">
        <f t="shared" si="3"/>
        <v>18.863041133877676</v>
      </c>
      <c r="F89" s="60" t="str">
        <f>'A-2 Identify Outlier-Exclusion'!F89</f>
        <v/>
      </c>
      <c r="G89" s="60" t="str">
        <f>'A-2 Identify Outlier-Exclusion'!G89</f>
        <v/>
      </c>
      <c r="H89" s="37" t="str">
        <f>IF(OR('A-2 Identify Outlier-Exclusion'!H89="",'A-2 Identify Outlier-Exclusion'!H89&lt;0.5),'A-2 Identify Outlier-Exclusion'!H89,'A-2 Identify Outlier-Exclusion'!$H$126)</f>
        <v/>
      </c>
      <c r="I89" s="60" t="str">
        <f>'A-2 Identify Outlier-Exclusion'!I89</f>
        <v/>
      </c>
      <c r="J89" s="60">
        <f>'A-2 Identify Outlier-Exclusion'!J89</f>
        <v>367.21</v>
      </c>
      <c r="K89" s="60" t="str">
        <f>'A-2 Identify Outlier-Exclusion'!K89</f>
        <v/>
      </c>
      <c r="L89" s="60" t="str">
        <f>'A-2 Identify Outlier-Exclusion'!L89</f>
        <v/>
      </c>
      <c r="M89" s="37">
        <f>IF(OR('A-2 Identify Outlier-Exclusion'!M89="",'A-2 Identify Outlier-Exclusion'!M89&lt;1.5),'A-2 Identify Outlier-Exclusion'!M89,'A-2 Identify Outlier-Exclusion'!$M$126)</f>
        <v>9.9970053359468583E-2</v>
      </c>
      <c r="N89" s="60" t="str">
        <f>'A-2 Identify Outlier-Exclusion'!N89</f>
        <v/>
      </c>
      <c r="O89" s="60" t="str">
        <f>'A-2 Identify Outlier-Exclusion'!O89</f>
        <v/>
      </c>
      <c r="P89" s="37" t="str">
        <f>IF(OR('A-2 Identify Outlier-Exclusion'!P89="",'A-2 Identify Outlier-Exclusion'!P89&lt;0.9),'A-2 Identify Outlier-Exclusion'!P89,'A-2 Identify Outlier-Exclusion'!$P$126)</f>
        <v/>
      </c>
      <c r="Q89" s="36">
        <f t="shared" ref="Q89:Q117" si="5">IFERROR(E89*(1+SUM(H89,M89,P89)),"")</f>
        <v>20.748780362553276</v>
      </c>
    </row>
    <row r="90" spans="1:17" x14ac:dyDescent="0.25">
      <c r="A90" s="43" t="s">
        <v>365</v>
      </c>
      <c r="B90" s="43" t="s">
        <v>170</v>
      </c>
      <c r="C90" s="60">
        <f>IF(VLOOKUP(B90,'[1]UT Rate Study HCBS Survey'!$B$6:$FG$139,129,0)=0,"",VLOOKUP(B90,'[1]UT Rate Study HCBS Survey'!$B$6:$FG$139,129,0))</f>
        <v>428600</v>
      </c>
      <c r="D90" s="61">
        <f>IF(VLOOKUP(B90,'[1]UT Rate Study HCBS Survey'!$B$6:$FG$139,130,0)=0,"",VLOOKUP(B90,'[1]UT Rate Study HCBS Survey'!$B$6:$FG$139,130,0))</f>
        <v>20440</v>
      </c>
      <c r="E90" s="36">
        <f t="shared" si="3"/>
        <v>20.968688845401175</v>
      </c>
      <c r="F90" s="60">
        <f>'A-2 Identify Outlier-Exclusion'!F90</f>
        <v>478600</v>
      </c>
      <c r="G90" s="60">
        <f>'A-2 Identify Outlier-Exclusion'!G90</f>
        <v>478600</v>
      </c>
      <c r="H90" s="37">
        <f>IF(OR('A-2 Identify Outlier-Exclusion'!H90="",'A-2 Identify Outlier-Exclusion'!H90&lt;0.5),'A-2 Identify Outlier-Exclusion'!H90,'A-2 Identify Outlier-Exclusion'!$H$126)</f>
        <v>0.13642665296968531</v>
      </c>
      <c r="I90" s="60" t="str">
        <f>'A-2 Identify Outlier-Exclusion'!I90</f>
        <v/>
      </c>
      <c r="J90" s="60">
        <f>'A-2 Identify Outlier-Exclusion'!J90</f>
        <v>50000</v>
      </c>
      <c r="K90" s="60" t="str">
        <f>'A-2 Identify Outlier-Exclusion'!K90</f>
        <v/>
      </c>
      <c r="L90" s="60" t="str">
        <f>'A-2 Identify Outlier-Exclusion'!L90</f>
        <v/>
      </c>
      <c r="M90" s="37">
        <f>IF(OR('A-2 Identify Outlier-Exclusion'!M90="",'A-2 Identify Outlier-Exclusion'!M90&lt;1.5),'A-2 Identify Outlier-Exclusion'!M90,'A-2 Identify Outlier-Exclusion'!$M$126)</f>
        <v>0.11665888940737285</v>
      </c>
      <c r="N90" s="60">
        <f>'A-2 Identify Outlier-Exclusion'!N90</f>
        <v>678274</v>
      </c>
      <c r="O90" s="60" t="str">
        <f>'A-2 Identify Outlier-Exclusion'!O90</f>
        <v/>
      </c>
      <c r="P90" s="37" t="str">
        <f>IF(OR('A-2 Identify Outlier-Exclusion'!P90="",'A-2 Identify Outlier-Exclusion'!P90&lt;0.9),'A-2 Identify Outlier-Exclusion'!P90,'A-2 Identify Outlier-Exclusion'!$P$126)</f>
        <v/>
      </c>
      <c r="Q90" s="36">
        <f t="shared" si="5"/>
        <v>26.275560834775302</v>
      </c>
    </row>
    <row r="91" spans="1:17" x14ac:dyDescent="0.25">
      <c r="A91" s="43" t="s">
        <v>365</v>
      </c>
      <c r="B91" s="43" t="s">
        <v>171</v>
      </c>
      <c r="C91" s="60">
        <f>IF(VLOOKUP(B91,'[1]UT Rate Study HCBS Survey'!$B$6:$FG$139,129,0)=0,"",VLOOKUP(B91,'[1]UT Rate Study HCBS Survey'!$B$6:$FG$139,129,0))</f>
        <v>2500000</v>
      </c>
      <c r="D91" s="61">
        <f>IF(VLOOKUP(B91,'[1]UT Rate Study HCBS Survey'!$B$6:$FG$139,130,0)=0,"",VLOOKUP(B91,'[1]UT Rate Study HCBS Survey'!$B$6:$FG$139,130,0))</f>
        <v>129000</v>
      </c>
      <c r="E91" s="36">
        <f t="shared" si="3"/>
        <v>19.379844961240309</v>
      </c>
      <c r="F91" s="60">
        <f>'A-2 Identify Outlier-Exclusion'!F91</f>
        <v>29854.799999999999</v>
      </c>
      <c r="G91" s="60">
        <f>'A-2 Identify Outlier-Exclusion'!G91</f>
        <v>146151.65</v>
      </c>
      <c r="H91" s="37">
        <f>IF(OR('A-2 Identify Outlier-Exclusion'!H91="",'A-2 Identify Outlier-Exclusion'!H91&lt;0.5),'A-2 Identify Outlier-Exclusion'!H91,'A-2 Identify Outlier-Exclusion'!$H$126)</f>
        <v>0.20427275367743025</v>
      </c>
      <c r="I91" s="60" t="str">
        <f>'A-2 Identify Outlier-Exclusion'!I91</f>
        <v/>
      </c>
      <c r="J91" s="60" t="str">
        <f>'A-2 Identify Outlier-Exclusion'!J91</f>
        <v/>
      </c>
      <c r="K91" s="60" t="str">
        <f>'A-2 Identify Outlier-Exclusion'!K91</f>
        <v/>
      </c>
      <c r="L91" s="60" t="str">
        <f>'A-2 Identify Outlier-Exclusion'!L91</f>
        <v/>
      </c>
      <c r="M91" s="37" t="str">
        <f>IF(OR('A-2 Identify Outlier-Exclusion'!M91="",'A-2 Identify Outlier-Exclusion'!M91&lt;1.5),'A-2 Identify Outlier-Exclusion'!M91,'A-2 Identify Outlier-Exclusion'!$M$126)</f>
        <v/>
      </c>
      <c r="N91" s="60">
        <f>'A-2 Identify Outlier-Exclusion'!N91</f>
        <v>241070.1</v>
      </c>
      <c r="O91" s="60">
        <f>'A-2 Identify Outlier-Exclusion'!O91</f>
        <v>58983.11</v>
      </c>
      <c r="P91" s="37">
        <f>IF(OR('A-2 Identify Outlier-Exclusion'!P91="",'A-2 Identify Outlier-Exclusion'!P91&lt;0.9),'A-2 Identify Outlier-Exclusion'!P91,'A-2 Identify Outlier-Exclusion'!$P$126)</f>
        <v>0.24467202693324472</v>
      </c>
      <c r="Q91" s="36">
        <f>IFERROR((E91+(E91*H91))/(1-P91),"")</f>
        <v>30.89865606665661</v>
      </c>
    </row>
    <row r="92" spans="1:17" x14ac:dyDescent="0.25">
      <c r="A92" s="43" t="s">
        <v>365</v>
      </c>
      <c r="B92" s="43" t="s">
        <v>172</v>
      </c>
      <c r="C92" s="60">
        <f>IF(VLOOKUP(B92,'[1]UT Rate Study HCBS Survey'!$B$6:$FG$139,129,0)=0,"",VLOOKUP(B92,'[1]UT Rate Study HCBS Survey'!$B$6:$FG$139,129,0))</f>
        <v>43527168</v>
      </c>
      <c r="D92" s="61">
        <f>IF(VLOOKUP(B92,'[1]UT Rate Study HCBS Survey'!$B$6:$FG$139,130,0)=0,"",VLOOKUP(B92,'[1]UT Rate Study HCBS Survey'!$B$6:$FG$139,130,0))</f>
        <v>2365787</v>
      </c>
      <c r="E92" s="36">
        <f t="shared" si="3"/>
        <v>18.398599704876222</v>
      </c>
      <c r="F92" s="60">
        <f>'A-2 Identify Outlier-Exclusion'!F92</f>
        <v>11010579</v>
      </c>
      <c r="G92" s="60">
        <f>'A-2 Identify Outlier-Exclusion'!G92</f>
        <v>71267756</v>
      </c>
      <c r="H92" s="37">
        <f>IF(OR('A-2 Identify Outlier-Exclusion'!H92="",'A-2 Identify Outlier-Exclusion'!H92&lt;0.5),'A-2 Identify Outlier-Exclusion'!H92,'A-2 Identify Outlier-Exclusion'!$H$126)</f>
        <v>0.15449594063267547</v>
      </c>
      <c r="I92" s="60" t="str">
        <f>'A-2 Identify Outlier-Exclusion'!I92</f>
        <v/>
      </c>
      <c r="J92" s="60">
        <f>'A-2 Identify Outlier-Exclusion'!J92</f>
        <v>2832635</v>
      </c>
      <c r="K92" s="60">
        <f>'A-2 Identify Outlier-Exclusion'!K92</f>
        <v>1262998</v>
      </c>
      <c r="L92" s="60">
        <f>'A-2 Identify Outlier-Exclusion'!L92</f>
        <v>14731932</v>
      </c>
      <c r="M92" s="37">
        <f>IF(OR('A-2 Identify Outlier-Exclusion'!M92="",'A-2 Identify Outlier-Exclusion'!M92&lt;1.5),'A-2 Identify Outlier-Exclusion'!M92,'A-2 Identify Outlier-Exclusion'!$M$126)</f>
        <v>0.43254743795874795</v>
      </c>
      <c r="N92" s="60">
        <f>'A-2 Identify Outlier-Exclusion'!N92</f>
        <v>103313373</v>
      </c>
      <c r="O92" s="60">
        <f>'A-2 Identify Outlier-Exclusion'!O92</f>
        <v>11574763</v>
      </c>
      <c r="P92" s="37">
        <f>IF(OR('A-2 Identify Outlier-Exclusion'!P92="",'A-2 Identify Outlier-Exclusion'!P92&lt;0.9),'A-2 Identify Outlier-Exclusion'!P92,'A-2 Identify Outlier-Exclusion'!$P$126)</f>
        <v>0.11203547676252909</v>
      </c>
      <c r="Q92" s="36">
        <f t="shared" ref="Q92" si="6">IFERROR((E92+(E92*H92)+(E92*M92))/(1-P92),"")</f>
        <v>32.883493735221059</v>
      </c>
    </row>
    <row r="93" spans="1:17" x14ac:dyDescent="0.25">
      <c r="A93" s="43" t="s">
        <v>365</v>
      </c>
      <c r="B93" s="43" t="s">
        <v>173</v>
      </c>
      <c r="C93" s="60">
        <f>IF(VLOOKUP(B93,'[1]UT Rate Study HCBS Survey'!$B$6:$FG$139,129,0)=0,"",VLOOKUP(B93,'[1]UT Rate Study HCBS Survey'!$B$6:$FG$139,129,0))</f>
        <v>14115</v>
      </c>
      <c r="D93" s="61">
        <f>IF(VLOOKUP(B93,'[1]UT Rate Study HCBS Survey'!$B$6:$FG$139,130,0)=0,"",VLOOKUP(B93,'[1]UT Rate Study HCBS Survey'!$B$6:$FG$139,130,0))</f>
        <v>705.75</v>
      </c>
      <c r="E93" s="36">
        <f t="shared" si="3"/>
        <v>20</v>
      </c>
      <c r="F93" s="60" t="str">
        <f>'A-2 Identify Outlier-Exclusion'!F93</f>
        <v/>
      </c>
      <c r="G93" s="60" t="str">
        <f>'A-2 Identify Outlier-Exclusion'!G93</f>
        <v/>
      </c>
      <c r="H93" s="37" t="str">
        <f>IF(OR('A-2 Identify Outlier-Exclusion'!H93="",'A-2 Identify Outlier-Exclusion'!H93&lt;0.5),'A-2 Identify Outlier-Exclusion'!H93,'A-2 Identify Outlier-Exclusion'!$H$126)</f>
        <v/>
      </c>
      <c r="I93" s="60" t="str">
        <f>'A-2 Identify Outlier-Exclusion'!I93</f>
        <v/>
      </c>
      <c r="J93" s="60" t="str">
        <f>'A-2 Identify Outlier-Exclusion'!J93</f>
        <v/>
      </c>
      <c r="K93" s="60" t="str">
        <f>'A-2 Identify Outlier-Exclusion'!K93</f>
        <v/>
      </c>
      <c r="L93" s="60" t="str">
        <f>'A-2 Identify Outlier-Exclusion'!L93</f>
        <v/>
      </c>
      <c r="M93" s="37" t="str">
        <f>IF(OR('A-2 Identify Outlier-Exclusion'!M93="",'A-2 Identify Outlier-Exclusion'!M93&lt;1.5),'A-2 Identify Outlier-Exclusion'!M93,'A-2 Identify Outlier-Exclusion'!$M$126)</f>
        <v/>
      </c>
      <c r="N93" s="60" t="str">
        <f>'A-2 Identify Outlier-Exclusion'!N93</f>
        <v/>
      </c>
      <c r="O93" s="60" t="str">
        <f>'A-2 Identify Outlier-Exclusion'!O93</f>
        <v/>
      </c>
      <c r="P93" s="37" t="str">
        <f>IF(OR('A-2 Identify Outlier-Exclusion'!P93="",'A-2 Identify Outlier-Exclusion'!P93&lt;0.9),'A-2 Identify Outlier-Exclusion'!P93,'A-2 Identify Outlier-Exclusion'!$P$126)</f>
        <v/>
      </c>
      <c r="Q93" s="36">
        <f t="shared" si="5"/>
        <v>20</v>
      </c>
    </row>
    <row r="94" spans="1:17" x14ac:dyDescent="0.25">
      <c r="A94" s="43" t="s">
        <v>365</v>
      </c>
      <c r="B94" s="43" t="s">
        <v>174</v>
      </c>
      <c r="C94" s="60">
        <f>IF(VLOOKUP(B94,'[1]UT Rate Study HCBS Survey'!$B$6:$FG$139,129,0)=0,"",VLOOKUP(B94,'[1]UT Rate Study HCBS Survey'!$B$6:$FG$139,129,0))</f>
        <v>11392</v>
      </c>
      <c r="D94" s="61">
        <f>IF(VLOOKUP(B94,'[1]UT Rate Study HCBS Survey'!$B$6:$FG$139,130,0)=0,"",VLOOKUP(B94,'[1]UT Rate Study HCBS Survey'!$B$6:$FG$139,130,0))</f>
        <v>352</v>
      </c>
      <c r="E94" s="36">
        <f t="shared" si="3"/>
        <v>32.363636363636367</v>
      </c>
      <c r="F94" s="60" t="str">
        <f>'A-2 Identify Outlier-Exclusion'!F94</f>
        <v/>
      </c>
      <c r="G94" s="60">
        <f>'A-2 Identify Outlier-Exclusion'!G94</f>
        <v>226390.5</v>
      </c>
      <c r="H94" s="37" t="str">
        <f>IF(OR('A-2 Identify Outlier-Exclusion'!H94="",'A-2 Identify Outlier-Exclusion'!H94&lt;0.5),'A-2 Identify Outlier-Exclusion'!H94,'A-2 Identify Outlier-Exclusion'!$H$126)</f>
        <v/>
      </c>
      <c r="I94" s="60" t="str">
        <f>'A-2 Identify Outlier-Exclusion'!I94</f>
        <v/>
      </c>
      <c r="J94" s="60" t="str">
        <f>'A-2 Identify Outlier-Exclusion'!J94</f>
        <v/>
      </c>
      <c r="K94" s="60">
        <f>'A-2 Identify Outlier-Exclusion'!K94</f>
        <v>455.62</v>
      </c>
      <c r="L94" s="60" t="str">
        <f>'A-2 Identify Outlier-Exclusion'!L94</f>
        <v/>
      </c>
      <c r="M94" s="37">
        <f>IF(OR('A-2 Identify Outlier-Exclusion'!M94="",'A-2 Identify Outlier-Exclusion'!M94&lt;1.5),'A-2 Identify Outlier-Exclusion'!M94,'A-2 Identify Outlier-Exclusion'!$M$126)</f>
        <v>3.9994733146067413E-2</v>
      </c>
      <c r="N94" s="60">
        <f>'A-2 Identify Outlier-Exclusion'!N94</f>
        <v>388376</v>
      </c>
      <c r="O94" s="60" t="str">
        <f>'A-2 Identify Outlier-Exclusion'!O94</f>
        <v/>
      </c>
      <c r="P94" s="37" t="str">
        <f>IF(OR('A-2 Identify Outlier-Exclusion'!P94="",'A-2 Identify Outlier-Exclusion'!P94&lt;0.9),'A-2 Identify Outlier-Exclusion'!P94,'A-2 Identify Outlier-Exclusion'!$P$126)</f>
        <v/>
      </c>
      <c r="Q94" s="36">
        <f t="shared" si="5"/>
        <v>33.658011363636369</v>
      </c>
    </row>
    <row r="95" spans="1:17" x14ac:dyDescent="0.25">
      <c r="A95" s="43" t="s">
        <v>365</v>
      </c>
      <c r="B95" s="43" t="s">
        <v>175</v>
      </c>
      <c r="C95" s="60">
        <f>IF(VLOOKUP(B95,'[1]UT Rate Study HCBS Survey'!$B$6:$FG$139,129,0)=0,"",VLOOKUP(B95,'[1]UT Rate Study HCBS Survey'!$B$6:$FG$139,129,0))</f>
        <v>420898</v>
      </c>
      <c r="D95" s="61" t="str">
        <f>IF(VLOOKUP(B95,'[1]UT Rate Study HCBS Survey'!$B$6:$FG$139,130,0)=0,"",VLOOKUP(B95,'[1]UT Rate Study HCBS Survey'!$B$6:$FG$139,130,0))</f>
        <v/>
      </c>
      <c r="E95" s="36" t="str">
        <f t="shared" si="3"/>
        <v/>
      </c>
      <c r="F95" s="60">
        <f>'A-2 Identify Outlier-Exclusion'!F95</f>
        <v>11588.58</v>
      </c>
      <c r="G95" s="60">
        <f>'A-2 Identify Outlier-Exclusion'!G95</f>
        <v>1365876.5</v>
      </c>
      <c r="H95" s="37">
        <f>IF(OR('A-2 Identify Outlier-Exclusion'!H95="",'A-2 Identify Outlier-Exclusion'!H95&lt;0.5),'A-2 Identify Outlier-Exclusion'!H95,'A-2 Identify Outlier-Exclusion'!$H$126)</f>
        <v>8.484354185755447E-3</v>
      </c>
      <c r="I95" s="60" t="str">
        <f>'A-2 Identify Outlier-Exclusion'!I95</f>
        <v/>
      </c>
      <c r="J95" s="60">
        <f>'A-2 Identify Outlier-Exclusion'!J95</f>
        <v>708088</v>
      </c>
      <c r="K95" s="60" t="str">
        <f>'A-2 Identify Outlier-Exclusion'!K95</f>
        <v/>
      </c>
      <c r="L95" s="60">
        <f>'A-2 Identify Outlier-Exclusion'!L95</f>
        <v>169912</v>
      </c>
      <c r="M95" s="37">
        <f>IF(OR('A-2 Identify Outlier-Exclusion'!M95="",'A-2 Identify Outlier-Exclusion'!M95&lt;1.5),'A-2 Identify Outlier-Exclusion'!M95,'A-2 Identify Outlier-Exclusion'!$M$126)</f>
        <v>0.19010516950587109</v>
      </c>
      <c r="N95" s="60">
        <f>'A-2 Identify Outlier-Exclusion'!N95</f>
        <v>2042116.15</v>
      </c>
      <c r="O95" s="60">
        <f>'A-2 Identify Outlier-Exclusion'!O95</f>
        <v>214030</v>
      </c>
      <c r="P95" s="37">
        <f>IF(OR('A-2 Identify Outlier-Exclusion'!P95="",'A-2 Identify Outlier-Exclusion'!P95&lt;0.9),'A-2 Identify Outlier-Exclusion'!P95,'A-2 Identify Outlier-Exclusion'!$P$126)</f>
        <v>0.104807946404028</v>
      </c>
      <c r="Q95" s="36" t="str">
        <f t="shared" si="5"/>
        <v/>
      </c>
    </row>
    <row r="96" spans="1:17" x14ac:dyDescent="0.25">
      <c r="A96" s="43" t="s">
        <v>365</v>
      </c>
      <c r="B96" s="43" t="s">
        <v>176</v>
      </c>
      <c r="C96" s="60">
        <f>IF(VLOOKUP(B96,'[1]UT Rate Study HCBS Survey'!$B$6:$FG$139,129,0)=0,"",VLOOKUP(B96,'[1]UT Rate Study HCBS Survey'!$B$6:$FG$139,129,0))</f>
        <v>1124721.04</v>
      </c>
      <c r="D96" s="61">
        <f>IF(VLOOKUP(B96,'[1]UT Rate Study HCBS Survey'!$B$6:$FG$139,130,0)=0,"",VLOOKUP(B96,'[1]UT Rate Study HCBS Survey'!$B$6:$FG$139,130,0))</f>
        <v>71543.69</v>
      </c>
      <c r="E96" s="36">
        <f t="shared" si="3"/>
        <v>15.720758043092269</v>
      </c>
      <c r="F96" s="60">
        <f>'A-2 Identify Outlier-Exclusion'!F96</f>
        <v>98773.24</v>
      </c>
      <c r="G96" s="60">
        <f>'A-2 Identify Outlier-Exclusion'!G96</f>
        <v>1258257.3</v>
      </c>
      <c r="H96" s="37">
        <f>IF(OR('A-2 Identify Outlier-Exclusion'!H96="",'A-2 Identify Outlier-Exclusion'!H96&lt;0.5),'A-2 Identify Outlier-Exclusion'!H96,'A-2 Identify Outlier-Exclusion'!$H$126)</f>
        <v>7.8500033339762867E-2</v>
      </c>
      <c r="I96" s="60" t="str">
        <f>'A-2 Identify Outlier-Exclusion'!I96</f>
        <v/>
      </c>
      <c r="J96" s="60">
        <f>'A-2 Identify Outlier-Exclusion'!J96</f>
        <v>91220.66</v>
      </c>
      <c r="K96" s="60">
        <f>'A-2 Identify Outlier-Exclusion'!K96</f>
        <v>21009.38</v>
      </c>
      <c r="L96" s="60">
        <f>'A-2 Identify Outlier-Exclusion'!L96</f>
        <v>8944.18</v>
      </c>
      <c r="M96" s="37">
        <f>IF(OR('A-2 Identify Outlier-Exclusion'!M96="",'A-2 Identify Outlier-Exclusion'!M96&lt;1.5),'A-2 Identify Outlier-Exclusion'!M96,'A-2 Identify Outlier-Exclusion'!$M$126)</f>
        <v>0.10773713275604767</v>
      </c>
      <c r="N96" s="60">
        <f>'A-2 Identify Outlier-Exclusion'!N96</f>
        <v>1632929.02</v>
      </c>
      <c r="O96" s="60">
        <f>'A-2 Identify Outlier-Exclusion'!O96</f>
        <v>145198.66</v>
      </c>
      <c r="P96" s="37">
        <f>IF(OR('A-2 Identify Outlier-Exclusion'!P96="",'A-2 Identify Outlier-Exclusion'!P96&lt;0.9),'A-2 Identify Outlier-Exclusion'!P96,'A-2 Identify Outlier-Exclusion'!$P$126)</f>
        <v>8.8919149712949563E-2</v>
      </c>
      <c r="Q96" s="36">
        <f t="shared" ref="Q96:Q124" si="7">IFERROR((E96+(E96*H96)+(E96*M96))/(1-P96),"")</f>
        <v>20.468597780361836</v>
      </c>
    </row>
    <row r="97" spans="1:17" x14ac:dyDescent="0.25">
      <c r="A97" s="43" t="s">
        <v>365</v>
      </c>
      <c r="B97" s="43" t="s">
        <v>177</v>
      </c>
      <c r="C97" s="60">
        <f>IF(VLOOKUP(B97,'[1]UT Rate Study HCBS Survey'!$B$6:$FG$139,129,0)=0,"",VLOOKUP(B97,'[1]UT Rate Study HCBS Survey'!$B$6:$FG$139,129,0))</f>
        <v>254153</v>
      </c>
      <c r="D97" s="61">
        <f>IF(VLOOKUP(B97,'[1]UT Rate Study HCBS Survey'!$B$6:$FG$139,130,0)=0,"",VLOOKUP(B97,'[1]UT Rate Study HCBS Survey'!$B$6:$FG$139,130,0))</f>
        <v>5811</v>
      </c>
      <c r="E97" s="36">
        <f t="shared" si="3"/>
        <v>43.736534159352949</v>
      </c>
      <c r="F97" s="60">
        <f>'A-2 Identify Outlier-Exclusion'!F97</f>
        <v>93004</v>
      </c>
      <c r="G97" s="60">
        <f>'A-2 Identify Outlier-Exclusion'!G97</f>
        <v>645848</v>
      </c>
      <c r="H97" s="37">
        <f>IF(OR('A-2 Identify Outlier-Exclusion'!H97="",'A-2 Identify Outlier-Exclusion'!H97&lt;0.5),'A-2 Identify Outlier-Exclusion'!H97,'A-2 Identify Outlier-Exclusion'!$H$126)</f>
        <v>0.14400292328845177</v>
      </c>
      <c r="I97" s="60" t="str">
        <f>'A-2 Identify Outlier-Exclusion'!I97</f>
        <v/>
      </c>
      <c r="J97" s="60">
        <f>'A-2 Identify Outlier-Exclusion'!J97</f>
        <v>36971</v>
      </c>
      <c r="K97" s="60" t="str">
        <f>'A-2 Identify Outlier-Exclusion'!K97</f>
        <v/>
      </c>
      <c r="L97" s="60" t="str">
        <f>'A-2 Identify Outlier-Exclusion'!L97</f>
        <v/>
      </c>
      <c r="M97" s="37">
        <f>IF(OR('A-2 Identify Outlier-Exclusion'!M97="",'A-2 Identify Outlier-Exclusion'!M97&lt;1.5),'A-2 Identify Outlier-Exclusion'!M97,'A-2 Identify Outlier-Exclusion'!$M$126)</f>
        <v>0.14546749398984077</v>
      </c>
      <c r="N97" s="60">
        <f>'A-2 Identify Outlier-Exclusion'!N97</f>
        <v>1533184</v>
      </c>
      <c r="O97" s="60">
        <f>'A-2 Identify Outlier-Exclusion'!O97</f>
        <v>275270</v>
      </c>
      <c r="P97" s="37">
        <f>IF(OR('A-2 Identify Outlier-Exclusion'!P97="",'A-2 Identify Outlier-Exclusion'!P97&lt;0.9),'A-2 Identify Outlier-Exclusion'!P97,'A-2 Identify Outlier-Exclusion'!$P$126)</f>
        <v>0.17954139881449324</v>
      </c>
      <c r="Q97" s="36">
        <f t="shared" si="7"/>
        <v>68.738345690175436</v>
      </c>
    </row>
    <row r="98" spans="1:17" x14ac:dyDescent="0.25">
      <c r="A98" s="43" t="s">
        <v>365</v>
      </c>
      <c r="B98" s="43" t="s">
        <v>178</v>
      </c>
      <c r="C98" s="60">
        <f>IF(VLOOKUP(B98,'[1]UT Rate Study HCBS Survey'!$B$6:$FG$139,129,0)=0,"",VLOOKUP(B98,'[1]UT Rate Study HCBS Survey'!$B$6:$FG$139,129,0))</f>
        <v>769330</v>
      </c>
      <c r="D98" s="61" t="str">
        <f>IF(VLOOKUP(B98,'[1]UT Rate Study HCBS Survey'!$B$6:$FG$139,130,0)=0,"",VLOOKUP(B98,'[1]UT Rate Study HCBS Survey'!$B$6:$FG$139,130,0))</f>
        <v/>
      </c>
      <c r="E98" s="36" t="str">
        <f t="shared" si="3"/>
        <v/>
      </c>
      <c r="F98" s="60">
        <f>'A-2 Identify Outlier-Exclusion'!F98</f>
        <v>26158</v>
      </c>
      <c r="G98" s="60">
        <f>'A-2 Identify Outlier-Exclusion'!G98</f>
        <v>1167973</v>
      </c>
      <c r="H98" s="37">
        <f>IF(OR('A-2 Identify Outlier-Exclusion'!H98="",'A-2 Identify Outlier-Exclusion'!H98&lt;0.5),'A-2 Identify Outlier-Exclusion'!H98,'A-2 Identify Outlier-Exclusion'!$H$126)</f>
        <v>2.2396065662476788E-2</v>
      </c>
      <c r="I98" s="60">
        <f>'A-2 Identify Outlier-Exclusion'!I98</f>
        <v>59500</v>
      </c>
      <c r="J98" s="60">
        <f>'A-2 Identify Outlier-Exclusion'!J98</f>
        <v>209095</v>
      </c>
      <c r="K98" s="60" t="str">
        <f>'A-2 Identify Outlier-Exclusion'!K98</f>
        <v/>
      </c>
      <c r="L98" s="60">
        <f>'A-2 Identify Outlier-Exclusion'!L98</f>
        <v>144645</v>
      </c>
      <c r="M98" s="37">
        <f>IF(OR('A-2 Identify Outlier-Exclusion'!M98="",'A-2 Identify Outlier-Exclusion'!M98&lt;1.5),'A-2 Identify Outlier-Exclusion'!M98,'A-2 Identify Outlier-Exclusion'!$M$126)</f>
        <v>0.42679439692096088</v>
      </c>
      <c r="N98" s="60">
        <f>'A-2 Identify Outlier-Exclusion'!N98</f>
        <v>1732686.2</v>
      </c>
      <c r="O98" s="60">
        <f>'A-2 Identify Outlier-Exclusion'!O98</f>
        <v>158679</v>
      </c>
      <c r="P98" s="37">
        <f>IF(OR('A-2 Identify Outlier-Exclusion'!P98="",'A-2 Identify Outlier-Exclusion'!P98&lt;0.9),'A-2 Identify Outlier-Exclusion'!P98,'A-2 Identify Outlier-Exclusion'!$P$126)</f>
        <v>9.1579767877183998E-2</v>
      </c>
      <c r="Q98" s="36" t="str">
        <f t="shared" si="5"/>
        <v/>
      </c>
    </row>
    <row r="99" spans="1:17" x14ac:dyDescent="0.25">
      <c r="A99" s="43" t="s">
        <v>365</v>
      </c>
      <c r="B99" s="43" t="s">
        <v>182</v>
      </c>
      <c r="C99" s="60">
        <f>IF(VLOOKUP(B99,'[1]UT Rate Study HCBS Survey'!$B$6:$FG$139,129,0)=0,"",VLOOKUP(B99,'[1]UT Rate Study HCBS Survey'!$B$6:$FG$139,129,0))</f>
        <v>3553353</v>
      </c>
      <c r="D99" s="61">
        <f>IF(VLOOKUP(B99,'[1]UT Rate Study HCBS Survey'!$B$6:$FG$139,130,0)=0,"",VLOOKUP(B99,'[1]UT Rate Study HCBS Survey'!$B$6:$FG$139,130,0))</f>
        <v>191261</v>
      </c>
      <c r="E99" s="36">
        <f t="shared" si="3"/>
        <v>18.578554958930468</v>
      </c>
      <c r="F99" s="60">
        <f>'A-2 Identify Outlier-Exclusion'!F99</f>
        <v>708954</v>
      </c>
      <c r="G99" s="60">
        <f>'A-2 Identify Outlier-Exclusion'!G99</f>
        <v>5058461</v>
      </c>
      <c r="H99" s="37">
        <f>IF(OR('A-2 Identify Outlier-Exclusion'!H99="",'A-2 Identify Outlier-Exclusion'!H99&lt;0.5),'A-2 Identify Outlier-Exclusion'!H99,'A-2 Identify Outlier-Exclusion'!$H$126)</f>
        <v>0.14015211345901452</v>
      </c>
      <c r="I99" s="60">
        <f>'A-2 Identify Outlier-Exclusion'!I99</f>
        <v>96375</v>
      </c>
      <c r="J99" s="60">
        <f>'A-2 Identify Outlier-Exclusion'!J99</f>
        <v>494144</v>
      </c>
      <c r="K99" s="60">
        <f>'A-2 Identify Outlier-Exclusion'!K99</f>
        <v>681</v>
      </c>
      <c r="L99" s="60">
        <f>'A-2 Identify Outlier-Exclusion'!L99</f>
        <v>4093</v>
      </c>
      <c r="M99" s="37">
        <f>IF(OR('A-2 Identify Outlier-Exclusion'!M99="",'A-2 Identify Outlier-Exclusion'!M99&lt;1.5),'A-2 Identify Outlier-Exclusion'!M99,'A-2 Identify Outlier-Exclusion'!$M$126)</f>
        <v>0.13670004997632701</v>
      </c>
      <c r="N99" s="60">
        <f>'A-2 Identify Outlier-Exclusion'!N99</f>
        <v>8667409</v>
      </c>
      <c r="O99" s="60">
        <f>'A-2 Identify Outlier-Exclusion'!O99</f>
        <v>4518763</v>
      </c>
      <c r="P99" s="37">
        <f>IF(OR('A-2 Identify Outlier-Exclusion'!P99="",'A-2 Identify Outlier-Exclusion'!P99&lt;0.9),'A-2 Identify Outlier-Exclusion'!P99,'A-2 Identify Outlier-Exclusion'!$P$126)</f>
        <v>0.52135107504445677</v>
      </c>
      <c r="Q99" s="36">
        <f t="shared" si="7"/>
        <v>49.560475028782442</v>
      </c>
    </row>
    <row r="100" spans="1:17" x14ac:dyDescent="0.25">
      <c r="A100" s="43" t="s">
        <v>365</v>
      </c>
      <c r="B100" s="43" t="s">
        <v>183</v>
      </c>
      <c r="C100" s="60">
        <f>IF(VLOOKUP(B100,'[1]UT Rate Study HCBS Survey'!$B$6:$FG$139,129,0)=0,"",VLOOKUP(B100,'[1]UT Rate Study HCBS Survey'!$B$6:$FG$139,129,0))</f>
        <v>2673791</v>
      </c>
      <c r="D100" s="61">
        <f>IF(VLOOKUP(B100,'[1]UT Rate Study HCBS Survey'!$B$6:$FG$139,130,0)=0,"",VLOOKUP(B100,'[1]UT Rate Study HCBS Survey'!$B$6:$FG$139,130,0))</f>
        <v>144796</v>
      </c>
      <c r="E100" s="36">
        <f t="shared" si="3"/>
        <v>18.465917566783613</v>
      </c>
      <c r="F100" s="60">
        <f>'A-2 Identify Outlier-Exclusion'!F100</f>
        <v>452653.76</v>
      </c>
      <c r="G100" s="60">
        <f>'A-2 Identify Outlier-Exclusion'!G100</f>
        <v>4644183.1500000004</v>
      </c>
      <c r="H100" s="37">
        <f>IF(OR('A-2 Identify Outlier-Exclusion'!H100="",'A-2 Identify Outlier-Exclusion'!H100&lt;0.5),'A-2 Identify Outlier-Exclusion'!H100,'A-2 Identify Outlier-Exclusion'!$H$126)</f>
        <v>9.7466819326451404E-2</v>
      </c>
      <c r="I100" s="60">
        <f>'A-2 Identify Outlier-Exclusion'!I100</f>
        <v>930587</v>
      </c>
      <c r="J100" s="60">
        <f>'A-2 Identify Outlier-Exclusion'!J100</f>
        <v>942828</v>
      </c>
      <c r="K100" s="60">
        <f>'A-2 Identify Outlier-Exclusion'!K100</f>
        <v>21859</v>
      </c>
      <c r="L100" s="60">
        <f>'A-2 Identify Outlier-Exclusion'!L100</f>
        <v>28103</v>
      </c>
      <c r="M100" s="37">
        <f>IF(OR('A-2 Identify Outlier-Exclusion'!M100="",'A-2 Identify Outlier-Exclusion'!M100&lt;1.5),'A-2 Identify Outlier-Exclusion'!M100,'A-2 Identify Outlier-Exclusion'!$M$126)</f>
        <v>0.27544003431382613</v>
      </c>
      <c r="N100" s="60">
        <f>'A-2 Identify Outlier-Exclusion'!N100</f>
        <v>5397257.7199999997</v>
      </c>
      <c r="O100" s="60">
        <f>'A-2 Identify Outlier-Exclusion'!O100</f>
        <v>541026.76</v>
      </c>
      <c r="P100" s="37">
        <f>IF(OR('A-2 Identify Outlier-Exclusion'!P100="",'A-2 Identify Outlier-Exclusion'!P100&lt;0.9),'A-2 Identify Outlier-Exclusion'!P100,'A-2 Identify Outlier-Exclusion'!$P$126)</f>
        <v>0.10024104611406254</v>
      </c>
      <c r="Q100" s="36">
        <f t="shared" si="7"/>
        <v>28.176418447076099</v>
      </c>
    </row>
    <row r="101" spans="1:17" x14ac:dyDescent="0.25">
      <c r="A101" s="43" t="s">
        <v>365</v>
      </c>
      <c r="B101" s="43" t="s">
        <v>184</v>
      </c>
      <c r="C101" s="60">
        <f>IF(VLOOKUP(B101,'[1]UT Rate Study HCBS Survey'!$B$6:$FG$139,129,0)=0,"",VLOOKUP(B101,'[1]UT Rate Study HCBS Survey'!$B$6:$FG$139,129,0))</f>
        <v>167755</v>
      </c>
      <c r="D101" s="61">
        <f>IF(VLOOKUP(B101,'[1]UT Rate Study HCBS Survey'!$B$6:$FG$139,130,0)=0,"",VLOOKUP(B101,'[1]UT Rate Study HCBS Survey'!$B$6:$FG$139,130,0))</f>
        <v>11712</v>
      </c>
      <c r="E101" s="36">
        <f t="shared" si="3"/>
        <v>14.323343579234972</v>
      </c>
      <c r="F101" s="60">
        <f>'A-2 Identify Outlier-Exclusion'!F101</f>
        <v>64800</v>
      </c>
      <c r="G101" s="60">
        <f>'A-2 Identify Outlier-Exclusion'!G101</f>
        <v>201327</v>
      </c>
      <c r="H101" s="37">
        <f>IF(OR('A-2 Identify Outlier-Exclusion'!H101="",'A-2 Identify Outlier-Exclusion'!H101&lt;0.5),'A-2 Identify Outlier-Exclusion'!H101,'A-2 Identify Outlier-Exclusion'!$H$126)</f>
        <v>0.32186442951019983</v>
      </c>
      <c r="I101" s="60">
        <f>'A-2 Identify Outlier-Exclusion'!I101</f>
        <v>167755</v>
      </c>
      <c r="J101" s="60">
        <f>'A-2 Identify Outlier-Exclusion'!J101</f>
        <v>32000</v>
      </c>
      <c r="K101" s="60" t="str">
        <f>'A-2 Identify Outlier-Exclusion'!K101</f>
        <v/>
      </c>
      <c r="L101" s="60">
        <f>'A-2 Identify Outlier-Exclusion'!L101</f>
        <v>9200</v>
      </c>
      <c r="M101" s="37">
        <f>IF(OR('A-2 Identify Outlier-Exclusion'!M101="",'A-2 Identify Outlier-Exclusion'!M101&lt;1.5),'A-2 Identify Outlier-Exclusion'!M101,'A-2 Identify Outlier-Exclusion'!$M$126)</f>
        <v>0.12279812822270574</v>
      </c>
      <c r="N101" s="60">
        <f>'A-2 Identify Outlier-Exclusion'!N101</f>
        <v>209497</v>
      </c>
      <c r="O101" s="60">
        <f>'A-2 Identify Outlier-Exclusion'!O101</f>
        <v>8000</v>
      </c>
      <c r="P101" s="37">
        <f>IF(OR('A-2 Identify Outlier-Exclusion'!P101="",'A-2 Identify Outlier-Exclusion'!P101&lt;0.9),'A-2 Identify Outlier-Exclusion'!P101,'A-2 Identify Outlier-Exclusion'!$P$126)</f>
        <v>3.818670434421495E-2</v>
      </c>
      <c r="Q101" s="36">
        <f t="shared" si="7"/>
        <v>21.513944820607065</v>
      </c>
    </row>
    <row r="102" spans="1:17" x14ac:dyDescent="0.25">
      <c r="A102" s="43" t="s">
        <v>365</v>
      </c>
      <c r="B102" s="43" t="s">
        <v>185</v>
      </c>
      <c r="C102" s="60">
        <f>IF(VLOOKUP(B102,'[1]UT Rate Study HCBS Survey'!$B$6:$FG$139,129,0)=0,"",VLOOKUP(B102,'[1]UT Rate Study HCBS Survey'!$B$6:$FG$139,129,0))</f>
        <v>350555.26</v>
      </c>
      <c r="D102" s="61">
        <f>IF(VLOOKUP(B102,'[1]UT Rate Study HCBS Survey'!$B$6:$FG$139,130,0)=0,"",VLOOKUP(B102,'[1]UT Rate Study HCBS Survey'!$B$6:$FG$139,130,0))</f>
        <v>16308.57</v>
      </c>
      <c r="E102" s="36">
        <f t="shared" si="3"/>
        <v>21.495156227676617</v>
      </c>
      <c r="F102" s="60">
        <f>'A-2 Identify Outlier-Exclusion'!F102</f>
        <v>59988.69</v>
      </c>
      <c r="G102" s="60">
        <f>'A-2 Identify Outlier-Exclusion'!G102</f>
        <v>436805.14</v>
      </c>
      <c r="H102" s="37">
        <f>IF(OR('A-2 Identify Outlier-Exclusion'!H102="",'A-2 Identify Outlier-Exclusion'!H102&lt;0.5),'A-2 Identify Outlier-Exclusion'!H102,'A-2 Identify Outlier-Exclusion'!$H$126)</f>
        <v>0.13733512842820486</v>
      </c>
      <c r="I102" s="60">
        <f>'A-2 Identify Outlier-Exclusion'!I102</f>
        <v>15860</v>
      </c>
      <c r="J102" s="60">
        <f>'A-2 Identify Outlier-Exclusion'!J102</f>
        <v>86249.88</v>
      </c>
      <c r="K102" s="60" t="str">
        <f>'A-2 Identify Outlier-Exclusion'!K102</f>
        <v/>
      </c>
      <c r="L102" s="60">
        <f>'A-2 Identify Outlier-Exclusion'!L102</f>
        <v>359340.43</v>
      </c>
      <c r="M102" s="37">
        <f>IF(OR('A-2 Identify Outlier-Exclusion'!M102="",'A-2 Identify Outlier-Exclusion'!M102&lt;1.5),'A-2 Identify Outlier-Exclusion'!M102,'A-2 Identify Outlier-Exclusion'!$M$126)</f>
        <v>1.2160801108556449</v>
      </c>
      <c r="N102" s="60">
        <f>'A-2 Identify Outlier-Exclusion'!N102</f>
        <v>821045.57</v>
      </c>
      <c r="O102" s="60">
        <f>'A-2 Identify Outlier-Exclusion'!O102</f>
        <v>796145.57</v>
      </c>
      <c r="P102" s="37">
        <f>IF(OR('A-2 Identify Outlier-Exclusion'!P102="",'A-2 Identify Outlier-Exclusion'!P102&lt;0.9),'A-2 Identify Outlier-Exclusion'!P102,'A-2 Identify Outlier-Exclusion'!$P$126)</f>
        <v>0.17183647910687574</v>
      </c>
      <c r="Q102" s="36">
        <f t="shared" si="7"/>
        <v>61.083381434678806</v>
      </c>
    </row>
    <row r="103" spans="1:17" x14ac:dyDescent="0.25">
      <c r="A103" s="43" t="s">
        <v>365</v>
      </c>
      <c r="B103" s="43" t="s">
        <v>186</v>
      </c>
      <c r="C103" s="60">
        <f>IF(VLOOKUP(B103,'[1]UT Rate Study HCBS Survey'!$B$6:$FG$139,129,0)=0,"",VLOOKUP(B103,'[1]UT Rate Study HCBS Survey'!$B$6:$FG$139,129,0))</f>
        <v>153159.42000000001</v>
      </c>
      <c r="D103" s="61">
        <f>IF(VLOOKUP(B103,'[1]UT Rate Study HCBS Survey'!$B$6:$FG$139,130,0)=0,"",VLOOKUP(B103,'[1]UT Rate Study HCBS Survey'!$B$6:$FG$139,130,0))</f>
        <v>9987.2999999999993</v>
      </c>
      <c r="E103" s="36">
        <f t="shared" si="3"/>
        <v>15.335417980835663</v>
      </c>
      <c r="F103" s="60">
        <f>'A-2 Identify Outlier-Exclusion'!F103</f>
        <v>15048.41</v>
      </c>
      <c r="G103" s="60">
        <f>'A-2 Identify Outlier-Exclusion'!G103</f>
        <v>185159.46</v>
      </c>
      <c r="H103" s="37">
        <f>IF(OR('A-2 Identify Outlier-Exclusion'!H103="",'A-2 Identify Outlier-Exclusion'!H103&lt;0.5),'A-2 Identify Outlier-Exclusion'!H103,'A-2 Identify Outlier-Exclusion'!$H$126)</f>
        <v>8.127270407895984E-2</v>
      </c>
      <c r="I103" s="60" t="str">
        <f>'A-2 Identify Outlier-Exclusion'!I103</f>
        <v/>
      </c>
      <c r="J103" s="60">
        <f>'A-2 Identify Outlier-Exclusion'!J103</f>
        <v>32000.04</v>
      </c>
      <c r="K103" s="60" t="str">
        <f>'A-2 Identify Outlier-Exclusion'!K103</f>
        <v/>
      </c>
      <c r="L103" s="60" t="str">
        <f>'A-2 Identify Outlier-Exclusion'!L103</f>
        <v/>
      </c>
      <c r="M103" s="37">
        <f>IF(OR('A-2 Identify Outlier-Exclusion'!M103="",'A-2 Identify Outlier-Exclusion'!M103&lt;1.5),'A-2 Identify Outlier-Exclusion'!M103,'A-2 Identify Outlier-Exclusion'!$M$126)</f>
        <v>0.20893288835907056</v>
      </c>
      <c r="N103" s="60">
        <f>'A-2 Identify Outlier-Exclusion'!N103</f>
        <v>506613.57</v>
      </c>
      <c r="O103" s="60">
        <f>'A-2 Identify Outlier-Exclusion'!O103</f>
        <v>276148.92</v>
      </c>
      <c r="P103" s="37">
        <f>IF(OR('A-2 Identify Outlier-Exclusion'!P103="",'A-2 Identify Outlier-Exclusion'!P103&lt;0.9),'A-2 Identify Outlier-Exclusion'!P103,'A-2 Identify Outlier-Exclusion'!$P$126)</f>
        <v>0.54508788621670745</v>
      </c>
      <c r="Q103" s="36">
        <f t="shared" si="7"/>
        <v>43.493768228546941</v>
      </c>
    </row>
    <row r="104" spans="1:17" x14ac:dyDescent="0.25">
      <c r="A104" s="43" t="s">
        <v>365</v>
      </c>
      <c r="B104" s="43" t="s">
        <v>187</v>
      </c>
      <c r="C104" s="60">
        <f>IF(VLOOKUP(B104,'[1]UT Rate Study HCBS Survey'!$B$6:$FG$139,129,0)=0,"",VLOOKUP(B104,'[1]UT Rate Study HCBS Survey'!$B$6:$FG$139,129,0))</f>
        <v>347455</v>
      </c>
      <c r="D104" s="61">
        <f>IF(VLOOKUP(B104,'[1]UT Rate Study HCBS Survey'!$B$6:$FG$139,130,0)=0,"",VLOOKUP(B104,'[1]UT Rate Study HCBS Survey'!$B$6:$FG$139,130,0))</f>
        <v>18436</v>
      </c>
      <c r="E104" s="36">
        <f t="shared" si="3"/>
        <v>18.846550227815143</v>
      </c>
      <c r="F104" s="60">
        <f>'A-2 Identify Outlier-Exclusion'!F104</f>
        <v>81114</v>
      </c>
      <c r="G104" s="60">
        <f>'A-2 Identify Outlier-Exclusion'!G104</f>
        <v>425525</v>
      </c>
      <c r="H104" s="37">
        <f>IF(OR('A-2 Identify Outlier-Exclusion'!H104="",'A-2 Identify Outlier-Exclusion'!H104&lt;0.5),'A-2 Identify Outlier-Exclusion'!H104,'A-2 Identify Outlier-Exclusion'!$H$126)</f>
        <v>0.19062099759121084</v>
      </c>
      <c r="I104" s="60" t="str">
        <f>'A-2 Identify Outlier-Exclusion'!I104</f>
        <v/>
      </c>
      <c r="J104" s="60">
        <f>'A-2 Identify Outlier-Exclusion'!J104</f>
        <v>78070</v>
      </c>
      <c r="K104" s="60">
        <f>'A-2 Identify Outlier-Exclusion'!K104</f>
        <v>13</v>
      </c>
      <c r="L104" s="60">
        <f>'A-2 Identify Outlier-Exclusion'!L104</f>
        <v>247772</v>
      </c>
      <c r="M104" s="37">
        <f>IF(OR('A-2 Identify Outlier-Exclusion'!M104="",'A-2 Identify Outlier-Exclusion'!M104&lt;1.5),'A-2 Identify Outlier-Exclusion'!M104,'A-2 Identify Outlier-Exclusion'!$M$126)</f>
        <v>0.93783367630340619</v>
      </c>
      <c r="N104" s="60">
        <f>'A-2 Identify Outlier-Exclusion'!N104</f>
        <v>754424</v>
      </c>
      <c r="O104" s="60">
        <f>'A-2 Identify Outlier-Exclusion'!O104</f>
        <v>253846</v>
      </c>
      <c r="P104" s="37">
        <f>IF(OR('A-2 Identify Outlier-Exclusion'!P104="",'A-2 Identify Outlier-Exclusion'!P104&lt;0.9),'A-2 Identify Outlier-Exclusion'!P104,'A-2 Identify Outlier-Exclusion'!$P$126)</f>
        <v>0.3364765702045534</v>
      </c>
      <c r="Q104" s="36">
        <f t="shared" si="7"/>
        <v>60.456083565201752</v>
      </c>
    </row>
    <row r="105" spans="1:17" x14ac:dyDescent="0.25">
      <c r="A105" s="43" t="s">
        <v>365</v>
      </c>
      <c r="B105" s="43" t="s">
        <v>188</v>
      </c>
      <c r="C105" s="60">
        <f>IF(VLOOKUP(B105,'[1]UT Rate Study HCBS Survey'!$B$6:$FG$139,129,0)=0,"",VLOOKUP(B105,'[1]UT Rate Study HCBS Survey'!$B$6:$FG$139,129,0))</f>
        <v>7760257.2599999998</v>
      </c>
      <c r="D105" s="61">
        <f>IF(VLOOKUP(B105,'[1]UT Rate Study HCBS Survey'!$B$6:$FG$139,130,0)=0,"",VLOOKUP(B105,'[1]UT Rate Study HCBS Survey'!$B$6:$FG$139,130,0))</f>
        <v>422699.3</v>
      </c>
      <c r="E105" s="36">
        <f t="shared" si="3"/>
        <v>18.358812659495769</v>
      </c>
      <c r="F105" s="60">
        <f>'A-2 Identify Outlier-Exclusion'!F105</f>
        <v>2305902</v>
      </c>
      <c r="G105" s="60">
        <f>'A-2 Identify Outlier-Exclusion'!G105</f>
        <v>12155647</v>
      </c>
      <c r="H105" s="37">
        <f>IF(OR('A-2 Identify Outlier-Exclusion'!H105="",'A-2 Identify Outlier-Exclusion'!H105&lt;0.5),'A-2 Identify Outlier-Exclusion'!H105,'A-2 Identify Outlier-Exclusion'!$H$126)</f>
        <v>0.18969800620238478</v>
      </c>
      <c r="I105" s="60">
        <f>'A-2 Identify Outlier-Exclusion'!I105</f>
        <v>27796.58</v>
      </c>
      <c r="J105" s="60" t="str">
        <f>'A-2 Identify Outlier-Exclusion'!J105</f>
        <v/>
      </c>
      <c r="K105" s="60">
        <f>'A-2 Identify Outlier-Exclusion'!K105</f>
        <v>3610.18</v>
      </c>
      <c r="L105" s="60">
        <f>'A-2 Identify Outlier-Exclusion'!L105</f>
        <v>1390798.98</v>
      </c>
      <c r="M105" s="37">
        <f>IF(OR('A-2 Identify Outlier-Exclusion'!M105="",'A-2 Identify Outlier-Exclusion'!M105&lt;1.5),'A-2 Identify Outlier-Exclusion'!M105,'A-2 Identify Outlier-Exclusion'!$M$126)</f>
        <v>0.17904462252664652</v>
      </c>
      <c r="N105" s="60">
        <f>'A-2 Identify Outlier-Exclusion'!N105</f>
        <v>16907483</v>
      </c>
      <c r="O105" s="60">
        <f>'A-2 Identify Outlier-Exclusion'!O105</f>
        <v>508324</v>
      </c>
      <c r="P105" s="37">
        <f>IF(OR('A-2 Identify Outlier-Exclusion'!P105="",'A-2 Identify Outlier-Exclusion'!P105&lt;0.9),'A-2 Identify Outlier-Exclusion'!P105,'A-2 Identify Outlier-Exclusion'!$P$126)</f>
        <v>3.0065030968831966E-2</v>
      </c>
      <c r="Q105" s="36">
        <f t="shared" si="7"/>
        <v>25.907396168015232</v>
      </c>
    </row>
    <row r="106" spans="1:17" x14ac:dyDescent="0.25">
      <c r="A106" s="43" t="s">
        <v>365</v>
      </c>
      <c r="B106" s="43" t="s">
        <v>189</v>
      </c>
      <c r="C106" s="60">
        <f>IF(VLOOKUP(B106,'[1]UT Rate Study HCBS Survey'!$B$6:$FG$139,129,0)=0,"",VLOOKUP(B106,'[1]UT Rate Study HCBS Survey'!$B$6:$FG$139,129,0))</f>
        <v>838951.41</v>
      </c>
      <c r="D106" s="61">
        <f>IF(VLOOKUP(B106,'[1]UT Rate Study HCBS Survey'!$B$6:$FG$139,130,0)=0,"",VLOOKUP(B106,'[1]UT Rate Study HCBS Survey'!$B$6:$FG$139,130,0))</f>
        <v>52109.62</v>
      </c>
      <c r="E106" s="36">
        <f t="shared" si="3"/>
        <v>16.099741468082094</v>
      </c>
      <c r="F106" s="60">
        <f>'A-2 Identify Outlier-Exclusion'!F106</f>
        <v>165329.13</v>
      </c>
      <c r="G106" s="60">
        <f>'A-2 Identify Outlier-Exclusion'!G106</f>
        <v>1788662.41</v>
      </c>
      <c r="H106" s="37">
        <f>IF(OR('A-2 Identify Outlier-Exclusion'!H106="",'A-2 Identify Outlier-Exclusion'!H106&lt;0.5),'A-2 Identify Outlier-Exclusion'!H106,'A-2 Identify Outlier-Exclusion'!$H$126)</f>
        <v>9.2431712700889165E-2</v>
      </c>
      <c r="I106" s="60" t="str">
        <f>'A-2 Identify Outlier-Exclusion'!I106</f>
        <v/>
      </c>
      <c r="J106" s="60">
        <f>'A-2 Identify Outlier-Exclusion'!J106</f>
        <v>949671</v>
      </c>
      <c r="K106" s="60">
        <f>'A-2 Identify Outlier-Exclusion'!K106</f>
        <v>7737.03</v>
      </c>
      <c r="L106" s="60">
        <f>'A-2 Identify Outlier-Exclusion'!L106</f>
        <v>16108.89</v>
      </c>
      <c r="M106" s="37">
        <f>IF(OR('A-2 Identify Outlier-Exclusion'!M106="",'A-2 Identify Outlier-Exclusion'!M106&lt;1.5),'A-2 Identify Outlier-Exclusion'!M106,'A-2 Identify Outlier-Exclusion'!$M$126)</f>
        <v>1.1603972630548414</v>
      </c>
      <c r="N106" s="60">
        <f>'A-2 Identify Outlier-Exclusion'!N106</f>
        <v>2667107.58</v>
      </c>
      <c r="O106" s="60">
        <f>'A-2 Identify Outlier-Exclusion'!O106</f>
        <v>2650998.69</v>
      </c>
      <c r="P106" s="37">
        <f>IF(OR('A-2 Identify Outlier-Exclusion'!P106="",'A-2 Identify Outlier-Exclusion'!P106&lt;0.9),'A-2 Identify Outlier-Exclusion'!P106,'A-2 Identify Outlier-Exclusion'!$P$126)</f>
        <v>0.17183647910687574</v>
      </c>
      <c r="Q106" s="36">
        <f t="shared" si="7"/>
        <v>43.795655285995309</v>
      </c>
    </row>
    <row r="107" spans="1:17" x14ac:dyDescent="0.25">
      <c r="A107" s="43" t="s">
        <v>365</v>
      </c>
      <c r="B107" s="43" t="s">
        <v>190</v>
      </c>
      <c r="C107" s="60">
        <f>IF(VLOOKUP(B107,'[1]UT Rate Study HCBS Survey'!$B$6:$FG$139,129,0)=0,"",VLOOKUP(B107,'[1]UT Rate Study HCBS Survey'!$B$6:$FG$139,129,0))</f>
        <v>264</v>
      </c>
      <c r="D107" s="61">
        <f>IF(VLOOKUP(B107,'[1]UT Rate Study HCBS Survey'!$B$6:$FG$139,130,0)=0,"",VLOOKUP(B107,'[1]UT Rate Study HCBS Survey'!$B$6:$FG$139,130,0))</f>
        <v>24</v>
      </c>
      <c r="E107" s="36">
        <f t="shared" si="3"/>
        <v>11</v>
      </c>
      <c r="F107" s="60" t="str">
        <f>'A-2 Identify Outlier-Exclusion'!F107</f>
        <v/>
      </c>
      <c r="G107" s="60" t="str">
        <f>'A-2 Identify Outlier-Exclusion'!G107</f>
        <v/>
      </c>
      <c r="H107" s="37" t="str">
        <f>IF(OR('A-2 Identify Outlier-Exclusion'!H107="",'A-2 Identify Outlier-Exclusion'!H107&lt;0.5),'A-2 Identify Outlier-Exclusion'!H107,'A-2 Identify Outlier-Exclusion'!$H$126)</f>
        <v/>
      </c>
      <c r="I107" s="60" t="str">
        <f>'A-2 Identify Outlier-Exclusion'!I107</f>
        <v/>
      </c>
      <c r="J107" s="60">
        <f>'A-2 Identify Outlier-Exclusion'!J107</f>
        <v>120</v>
      </c>
      <c r="K107" s="60" t="str">
        <f>'A-2 Identify Outlier-Exclusion'!K107</f>
        <v/>
      </c>
      <c r="L107" s="60" t="str">
        <f>'A-2 Identify Outlier-Exclusion'!L107</f>
        <v/>
      </c>
      <c r="M107" s="37">
        <f>IF(OR('A-2 Identify Outlier-Exclusion'!M107="",'A-2 Identify Outlier-Exclusion'!M107&lt;1.5),'A-2 Identify Outlier-Exclusion'!M107,'A-2 Identify Outlier-Exclusion'!$M$126)</f>
        <v>0.45454545454545453</v>
      </c>
      <c r="N107" s="60" t="str">
        <f>'A-2 Identify Outlier-Exclusion'!N107</f>
        <v/>
      </c>
      <c r="O107" s="60" t="str">
        <f>'A-2 Identify Outlier-Exclusion'!O107</f>
        <v/>
      </c>
      <c r="P107" s="37" t="str">
        <f>IF(OR('A-2 Identify Outlier-Exclusion'!P107="",'A-2 Identify Outlier-Exclusion'!P107&lt;0.9),'A-2 Identify Outlier-Exclusion'!P107,'A-2 Identify Outlier-Exclusion'!$P$126)</f>
        <v/>
      </c>
      <c r="Q107" s="36">
        <f t="shared" si="5"/>
        <v>16</v>
      </c>
    </row>
    <row r="108" spans="1:17" x14ac:dyDescent="0.25">
      <c r="A108" s="43" t="s">
        <v>365</v>
      </c>
      <c r="B108" s="43" t="s">
        <v>191</v>
      </c>
      <c r="C108" s="60">
        <f>IF(VLOOKUP(B108,'[1]UT Rate Study HCBS Survey'!$B$6:$FG$139,129,0)=0,"",VLOOKUP(B108,'[1]UT Rate Study HCBS Survey'!$B$6:$FG$139,129,0))</f>
        <v>1788484.79</v>
      </c>
      <c r="D108" s="61">
        <f>IF(VLOOKUP(B108,'[1]UT Rate Study HCBS Survey'!$B$6:$FG$139,130,0)=0,"",VLOOKUP(B108,'[1]UT Rate Study HCBS Survey'!$B$6:$FG$139,130,0))</f>
        <v>96326.11</v>
      </c>
      <c r="E108" s="36">
        <f t="shared" si="3"/>
        <v>18.566978257504637</v>
      </c>
      <c r="F108" s="60">
        <f>'A-2 Identify Outlier-Exclusion'!F108</f>
        <v>538911.05000000005</v>
      </c>
      <c r="G108" s="60">
        <f>'A-2 Identify Outlier-Exclusion'!G108</f>
        <v>2755238.31</v>
      </c>
      <c r="H108" s="37">
        <f>IF(OR('A-2 Identify Outlier-Exclusion'!H108="",'A-2 Identify Outlier-Exclusion'!H108&lt;0.5),'A-2 Identify Outlier-Exclusion'!H108,'A-2 Identify Outlier-Exclusion'!$H$126)</f>
        <v>0.19559507721856553</v>
      </c>
      <c r="I108" s="60" t="str">
        <f>'A-2 Identify Outlier-Exclusion'!I108</f>
        <v/>
      </c>
      <c r="J108" s="60">
        <f>'A-2 Identify Outlier-Exclusion'!J108</f>
        <v>126125.33</v>
      </c>
      <c r="K108" s="60">
        <f>'A-2 Identify Outlier-Exclusion'!K108</f>
        <v>10281.700000000001</v>
      </c>
      <c r="L108" s="60">
        <f>'A-2 Identify Outlier-Exclusion'!L108</f>
        <v>894149.22</v>
      </c>
      <c r="M108" s="37">
        <f>IF(OR('A-2 Identify Outlier-Exclusion'!M108="",'A-2 Identify Outlier-Exclusion'!M108&lt;1.5),'A-2 Identify Outlier-Exclusion'!M108,'A-2 Identify Outlier-Exclusion'!$M$126)</f>
        <v>0.57621750867671617</v>
      </c>
      <c r="N108" s="60">
        <f>'A-2 Identify Outlier-Exclusion'!N108</f>
        <v>4665358.71</v>
      </c>
      <c r="O108" s="60">
        <f>'A-2 Identify Outlier-Exclusion'!O108</f>
        <v>834225.36</v>
      </c>
      <c r="P108" s="37">
        <f>IF(OR('A-2 Identify Outlier-Exclusion'!P108="",'A-2 Identify Outlier-Exclusion'!P108&lt;0.9),'A-2 Identify Outlier-Exclusion'!P108,'A-2 Identify Outlier-Exclusion'!$P$126)</f>
        <v>0.17881269412615006</v>
      </c>
      <c r="Q108" s="36">
        <f t="shared" si="7"/>
        <v>40.060538592573423</v>
      </c>
    </row>
    <row r="109" spans="1:17" x14ac:dyDescent="0.25">
      <c r="A109" s="43" t="s">
        <v>365</v>
      </c>
      <c r="B109" s="43" t="s">
        <v>192</v>
      </c>
      <c r="C109" s="60">
        <f>IF(VLOOKUP(B109,'[1]UT Rate Study HCBS Survey'!$B$6:$FG$139,129,0)=0,"",VLOOKUP(B109,'[1]UT Rate Study HCBS Survey'!$B$6:$FG$139,129,0))</f>
        <v>2159072</v>
      </c>
      <c r="D109" s="61">
        <f>IF(VLOOKUP(B109,'[1]UT Rate Study HCBS Survey'!$B$6:$FG$139,130,0)=0,"",VLOOKUP(B109,'[1]UT Rate Study HCBS Survey'!$B$6:$FG$139,130,0))</f>
        <v>106910</v>
      </c>
      <c r="E109" s="36">
        <f t="shared" si="3"/>
        <v>20.195229632401084</v>
      </c>
      <c r="F109" s="60">
        <f>'A-2 Identify Outlier-Exclusion'!F109</f>
        <v>1572192</v>
      </c>
      <c r="G109" s="60">
        <f>'A-2 Identify Outlier-Exclusion'!G109</f>
        <v>8619560</v>
      </c>
      <c r="H109" s="37">
        <f>IF(OR('A-2 Identify Outlier-Exclusion'!H109="",'A-2 Identify Outlier-Exclusion'!H109&lt;0.5),'A-2 Identify Outlier-Exclusion'!H109,'A-2 Identify Outlier-Exclusion'!$H$126)</f>
        <v>0.18239817345664977</v>
      </c>
      <c r="I109" s="60">
        <f>'A-2 Identify Outlier-Exclusion'!I109</f>
        <v>581190</v>
      </c>
      <c r="J109" s="60">
        <f>'A-2 Identify Outlier-Exclusion'!J109</f>
        <v>638795</v>
      </c>
      <c r="K109" s="60" t="str">
        <f>'A-2 Identify Outlier-Exclusion'!K109</f>
        <v/>
      </c>
      <c r="L109" s="60">
        <f>'A-2 Identify Outlier-Exclusion'!L109</f>
        <v>28084544</v>
      </c>
      <c r="M109" s="37">
        <f>IF(OR('A-2 Identify Outlier-Exclusion'!M109="",'A-2 Identify Outlier-Exclusion'!M109&lt;1.5),'A-2 Identify Outlier-Exclusion'!M109,'A-2 Identify Outlier-Exclusion'!$M$126)</f>
        <v>0.19010516950587109</v>
      </c>
      <c r="N109" s="60">
        <f>'A-2 Identify Outlier-Exclusion'!N109</f>
        <v>17443957</v>
      </c>
      <c r="O109" s="60">
        <f>'A-2 Identify Outlier-Exclusion'!O109</f>
        <v>11520702</v>
      </c>
      <c r="P109" s="37">
        <f>IF(OR('A-2 Identify Outlier-Exclusion'!P109="",'A-2 Identify Outlier-Exclusion'!P109&lt;0.9),'A-2 Identify Outlier-Exclusion'!P109,'A-2 Identify Outlier-Exclusion'!$P$126)</f>
        <v>0.66044086212778441</v>
      </c>
      <c r="Q109" s="36">
        <f t="shared" si="7"/>
        <v>81.629433847830114</v>
      </c>
    </row>
    <row r="110" spans="1:17" x14ac:dyDescent="0.25">
      <c r="A110" s="43" t="s">
        <v>365</v>
      </c>
      <c r="B110" s="43" t="s">
        <v>194</v>
      </c>
      <c r="C110" s="60">
        <f>IF(VLOOKUP(B110,'[1]UT Rate Study HCBS Survey'!$B$6:$FG$139,129,0)=0,"",VLOOKUP(B110,'[1]UT Rate Study HCBS Survey'!$B$6:$FG$139,129,0))</f>
        <v>56520.55</v>
      </c>
      <c r="D110" s="61">
        <f>IF(VLOOKUP(B110,'[1]UT Rate Study HCBS Survey'!$B$6:$FG$139,130,0)=0,"",VLOOKUP(B110,'[1]UT Rate Study HCBS Survey'!$B$6:$FG$139,130,0))</f>
        <v>810</v>
      </c>
      <c r="E110" s="36">
        <f t="shared" si="3"/>
        <v>69.778456790123457</v>
      </c>
      <c r="F110" s="60">
        <f>'A-2 Identify Outlier-Exclusion'!F110</f>
        <v>3400</v>
      </c>
      <c r="G110" s="60">
        <f>'A-2 Identify Outlier-Exclusion'!G110</f>
        <v>56520.55</v>
      </c>
      <c r="H110" s="37">
        <f>IF(OR('A-2 Identify Outlier-Exclusion'!H110="",'A-2 Identify Outlier-Exclusion'!H110&lt;0.5),'A-2 Identify Outlier-Exclusion'!H110,'A-2 Identify Outlier-Exclusion'!$H$126)</f>
        <v>6.0155111724850517E-2</v>
      </c>
      <c r="I110" s="60" t="str">
        <f>'A-2 Identify Outlier-Exclusion'!I110</f>
        <v/>
      </c>
      <c r="J110" s="60" t="str">
        <f>'A-2 Identify Outlier-Exclusion'!J110</f>
        <v/>
      </c>
      <c r="K110" s="60" t="str">
        <f>'A-2 Identify Outlier-Exclusion'!K110</f>
        <v/>
      </c>
      <c r="L110" s="60">
        <f>'A-2 Identify Outlier-Exclusion'!L110</f>
        <v>9000</v>
      </c>
      <c r="M110" s="37">
        <f>IF(OR('A-2 Identify Outlier-Exclusion'!M110="",'A-2 Identify Outlier-Exclusion'!M110&lt;1.5),'A-2 Identify Outlier-Exclusion'!M110,'A-2 Identify Outlier-Exclusion'!$M$126)</f>
        <v>0.15923411927166314</v>
      </c>
      <c r="N110" s="60">
        <f>'A-2 Identify Outlier-Exclusion'!N110</f>
        <v>68920.55</v>
      </c>
      <c r="O110" s="60">
        <f>'A-2 Identify Outlier-Exclusion'!O110</f>
        <v>9000</v>
      </c>
      <c r="P110" s="37">
        <f>IF(OR('A-2 Identify Outlier-Exclusion'!P110="",'A-2 Identify Outlier-Exclusion'!P110&lt;0.9),'A-2 Identify Outlier-Exclusion'!P110,'A-2 Identify Outlier-Exclusion'!$P$126)</f>
        <v>0.13058514477902453</v>
      </c>
      <c r="Q110" s="36">
        <f t="shared" si="7"/>
        <v>97.867086413891414</v>
      </c>
    </row>
    <row r="111" spans="1:17" x14ac:dyDescent="0.25">
      <c r="A111" s="43" t="s">
        <v>365</v>
      </c>
      <c r="B111" s="43" t="s">
        <v>195</v>
      </c>
      <c r="C111" s="60">
        <f>IF(VLOOKUP(B111,'[1]UT Rate Study HCBS Survey'!$B$6:$FG$139,129,0)=0,"",VLOOKUP(B111,'[1]UT Rate Study HCBS Survey'!$B$6:$FG$139,129,0))</f>
        <v>22390.29</v>
      </c>
      <c r="D111" s="61">
        <f>IF(VLOOKUP(B111,'[1]UT Rate Study HCBS Survey'!$B$6:$FG$139,130,0)=0,"",VLOOKUP(B111,'[1]UT Rate Study HCBS Survey'!$B$6:$FG$139,130,0))</f>
        <v>1279</v>
      </c>
      <c r="E111" s="36">
        <f t="shared" si="3"/>
        <v>17.506090695856138</v>
      </c>
      <c r="F111" s="60" t="str">
        <f>'A-2 Identify Outlier-Exclusion'!F111</f>
        <v/>
      </c>
      <c r="G111" s="60">
        <f>'A-2 Identify Outlier-Exclusion'!G111</f>
        <v>22390.29</v>
      </c>
      <c r="H111" s="37" t="str">
        <f>IF(OR('A-2 Identify Outlier-Exclusion'!H111="",'A-2 Identify Outlier-Exclusion'!H111&lt;0.5),'A-2 Identify Outlier-Exclusion'!H111,'A-2 Identify Outlier-Exclusion'!$H$126)</f>
        <v/>
      </c>
      <c r="I111" s="60" t="str">
        <f>'A-2 Identify Outlier-Exclusion'!I111</f>
        <v/>
      </c>
      <c r="J111" s="60" t="str">
        <f>'A-2 Identify Outlier-Exclusion'!J111</f>
        <v/>
      </c>
      <c r="K111" s="60" t="str">
        <f>'A-2 Identify Outlier-Exclusion'!K111</f>
        <v/>
      </c>
      <c r="L111" s="60">
        <f>'A-2 Identify Outlier-Exclusion'!L111</f>
        <v>3400</v>
      </c>
      <c r="M111" s="37">
        <f>IF(OR('A-2 Identify Outlier-Exclusion'!M111="",'A-2 Identify Outlier-Exclusion'!M111&lt;1.5),'A-2 Identify Outlier-Exclusion'!M111,'A-2 Identify Outlier-Exclusion'!$M$126)</f>
        <v>0.15185153921632993</v>
      </c>
      <c r="N111" s="60">
        <f>'A-2 Identify Outlier-Exclusion'!N111</f>
        <v>16616</v>
      </c>
      <c r="O111" s="60" t="str">
        <f>'A-2 Identify Outlier-Exclusion'!O111</f>
        <v/>
      </c>
      <c r="P111" s="37" t="str">
        <f>IF(OR('A-2 Identify Outlier-Exclusion'!P111="",'A-2 Identify Outlier-Exclusion'!P111&lt;0.9),'A-2 Identify Outlier-Exclusion'!P111,'A-2 Identify Outlier-Exclusion'!$P$126)</f>
        <v/>
      </c>
      <c r="Q111" s="36">
        <f t="shared" si="5"/>
        <v>20.164417513682565</v>
      </c>
    </row>
    <row r="112" spans="1:17" x14ac:dyDescent="0.25">
      <c r="A112" s="43" t="s">
        <v>365</v>
      </c>
      <c r="B112" s="43" t="s">
        <v>196</v>
      </c>
      <c r="C112" s="60">
        <f>IF(VLOOKUP(B112,'[1]UT Rate Study HCBS Survey'!$B$6:$FG$139,129,0)=0,"",VLOOKUP(B112,'[1]UT Rate Study HCBS Survey'!$B$6:$FG$139,129,0))</f>
        <v>1950</v>
      </c>
      <c r="D112" s="61">
        <f>IF(VLOOKUP(B112,'[1]UT Rate Study HCBS Survey'!$B$6:$FG$139,130,0)=0,"",VLOOKUP(B112,'[1]UT Rate Study HCBS Survey'!$B$6:$FG$139,130,0))</f>
        <v>95</v>
      </c>
      <c r="E112" s="36">
        <f t="shared" si="3"/>
        <v>20.526315789473685</v>
      </c>
      <c r="F112" s="60">
        <f>'A-2 Identify Outlier-Exclusion'!F112</f>
        <v>154</v>
      </c>
      <c r="G112" s="60">
        <f>'A-2 Identify Outlier-Exclusion'!G112</f>
        <v>1950</v>
      </c>
      <c r="H112" s="37">
        <f>IF(OR('A-2 Identify Outlier-Exclusion'!H112="",'A-2 Identify Outlier-Exclusion'!H112&lt;0.5),'A-2 Identify Outlier-Exclusion'!H112,'A-2 Identify Outlier-Exclusion'!$H$126)</f>
        <v>7.8974358974358977E-2</v>
      </c>
      <c r="I112" s="60" t="str">
        <f>'A-2 Identify Outlier-Exclusion'!I112</f>
        <v/>
      </c>
      <c r="J112" s="60" t="str">
        <f>'A-2 Identify Outlier-Exclusion'!J112</f>
        <v/>
      </c>
      <c r="K112" s="60" t="str">
        <f>'A-2 Identify Outlier-Exclusion'!K112</f>
        <v/>
      </c>
      <c r="L112" s="60">
        <f>'A-2 Identify Outlier-Exclusion'!L112</f>
        <v>150</v>
      </c>
      <c r="M112" s="37">
        <f>IF(OR('A-2 Identify Outlier-Exclusion'!M112="",'A-2 Identify Outlier-Exclusion'!M112&lt;1.5),'A-2 Identify Outlier-Exclusion'!M112,'A-2 Identify Outlier-Exclusion'!$M$126)</f>
        <v>7.6923076923076927E-2</v>
      </c>
      <c r="N112" s="60">
        <f>'A-2 Identify Outlier-Exclusion'!N112</f>
        <v>12800</v>
      </c>
      <c r="O112" s="60">
        <f>'A-2 Identify Outlier-Exclusion'!O112</f>
        <v>1950</v>
      </c>
      <c r="P112" s="37">
        <f>IF(OR('A-2 Identify Outlier-Exclusion'!P112="",'A-2 Identify Outlier-Exclusion'!P112&lt;0.9),'A-2 Identify Outlier-Exclusion'!P112,'A-2 Identify Outlier-Exclusion'!$P$126)</f>
        <v>0.15234375</v>
      </c>
      <c r="Q112" s="36">
        <f t="shared" si="7"/>
        <v>27.990492359932087</v>
      </c>
    </row>
    <row r="113" spans="1:17" x14ac:dyDescent="0.25">
      <c r="A113" s="43" t="s">
        <v>365</v>
      </c>
      <c r="B113" s="43" t="s">
        <v>197</v>
      </c>
      <c r="C113" s="60">
        <f>IF(VLOOKUP(B113,'[1]UT Rate Study HCBS Survey'!$B$6:$FG$139,129,0)=0,"",VLOOKUP(B113,'[1]UT Rate Study HCBS Survey'!$B$6:$FG$139,129,0))</f>
        <v>219099.11</v>
      </c>
      <c r="D113" s="61">
        <f>IF(VLOOKUP(B113,'[1]UT Rate Study HCBS Survey'!$B$6:$FG$139,130,0)=0,"",VLOOKUP(B113,'[1]UT Rate Study HCBS Survey'!$B$6:$FG$139,130,0))</f>
        <v>17260.400000000001</v>
      </c>
      <c r="E113" s="36">
        <f t="shared" si="3"/>
        <v>12.693744640912143</v>
      </c>
      <c r="F113" s="60" t="str">
        <f>'A-2 Identify Outlier-Exclusion'!F113</f>
        <v/>
      </c>
      <c r="G113" s="60">
        <f>'A-2 Identify Outlier-Exclusion'!G113</f>
        <v>285755.74</v>
      </c>
      <c r="H113" s="37" t="str">
        <f>IF(OR('A-2 Identify Outlier-Exclusion'!H113="",'A-2 Identify Outlier-Exclusion'!H113&lt;0.5),'A-2 Identify Outlier-Exclusion'!H113,'A-2 Identify Outlier-Exclusion'!$H$126)</f>
        <v/>
      </c>
      <c r="I113" s="60" t="str">
        <f>'A-2 Identify Outlier-Exclusion'!I113</f>
        <v/>
      </c>
      <c r="J113" s="60">
        <f>'A-2 Identify Outlier-Exclusion'!J113</f>
        <v>66656.63</v>
      </c>
      <c r="K113" s="60">
        <f>'A-2 Identify Outlier-Exclusion'!K113</f>
        <v>6962.71</v>
      </c>
      <c r="L113" s="60">
        <f>'A-2 Identify Outlier-Exclusion'!L113</f>
        <v>1938.77</v>
      </c>
      <c r="M113" s="37">
        <f>IF(OR('A-2 Identify Outlier-Exclusion'!M113="",'A-2 Identify Outlier-Exclusion'!M113&lt;1.5),'A-2 Identify Outlier-Exclusion'!M113,'A-2 Identify Outlier-Exclusion'!$M$126)</f>
        <v>0.34485813292441042</v>
      </c>
      <c r="N113" s="60">
        <f>'A-2 Identify Outlier-Exclusion'!N113</f>
        <v>653242.12</v>
      </c>
      <c r="O113" s="60">
        <f>'A-2 Identify Outlier-Exclusion'!O113</f>
        <v>102310.26</v>
      </c>
      <c r="P113" s="37">
        <f>IF(OR('A-2 Identify Outlier-Exclusion'!P113="",'A-2 Identify Outlier-Exclusion'!P113&lt;0.9),'A-2 Identify Outlier-Exclusion'!P113,'A-2 Identify Outlier-Exclusion'!$P$126)</f>
        <v>0.156619202693176</v>
      </c>
      <c r="Q113" s="36">
        <f>IFERROR((E113+(E113*M113))/(1-P113),"")</f>
        <v>20.24149206634802</v>
      </c>
    </row>
    <row r="114" spans="1:17" x14ac:dyDescent="0.25">
      <c r="A114" s="43" t="s">
        <v>365</v>
      </c>
      <c r="B114" s="43" t="s">
        <v>198</v>
      </c>
      <c r="C114" s="60">
        <f>IF(VLOOKUP(B114,'[1]UT Rate Study HCBS Survey'!$B$6:$FG$139,129,0)=0,"",VLOOKUP(B114,'[1]UT Rate Study HCBS Survey'!$B$6:$FG$139,129,0))</f>
        <v>280441.88</v>
      </c>
      <c r="D114" s="61">
        <f>IF(VLOOKUP(B114,'[1]UT Rate Study HCBS Survey'!$B$6:$FG$139,130,0)=0,"",VLOOKUP(B114,'[1]UT Rate Study HCBS Survey'!$B$6:$FG$139,130,0))</f>
        <v>14013.11</v>
      </c>
      <c r="E114" s="36">
        <f t="shared" si="3"/>
        <v>20.012822278566286</v>
      </c>
      <c r="F114" s="60">
        <f>'A-2 Identify Outlier-Exclusion'!F114</f>
        <v>39892.92</v>
      </c>
      <c r="G114" s="60">
        <f>'A-2 Identify Outlier-Exclusion'!G114</f>
        <v>337827.24</v>
      </c>
      <c r="H114" s="37">
        <f>IF(OR('A-2 Identify Outlier-Exclusion'!H114="",'A-2 Identify Outlier-Exclusion'!H114&lt;0.5),'A-2 Identify Outlier-Exclusion'!H114,'A-2 Identify Outlier-Exclusion'!$H$126)</f>
        <v>0.11808674753403545</v>
      </c>
      <c r="I114" s="60" t="str">
        <f>'A-2 Identify Outlier-Exclusion'!I114</f>
        <v/>
      </c>
      <c r="J114" s="60">
        <f>'A-2 Identify Outlier-Exclusion'!J114</f>
        <v>79525.42</v>
      </c>
      <c r="K114" s="60">
        <f>'A-2 Identify Outlier-Exclusion'!K114</f>
        <v>11280</v>
      </c>
      <c r="L114" s="60">
        <f>'A-2 Identify Outlier-Exclusion'!L114</f>
        <v>40382.239999999998</v>
      </c>
      <c r="M114" s="37">
        <f>IF(OR('A-2 Identify Outlier-Exclusion'!M114="",'A-2 Identify Outlier-Exclusion'!M114&lt;1.5),'A-2 Identify Outlier-Exclusion'!M114,'A-2 Identify Outlier-Exclusion'!$M$126)</f>
        <v>0.46778911908592252</v>
      </c>
      <c r="N114" s="60">
        <f>'A-2 Identify Outlier-Exclusion'!N114</f>
        <v>463660.5</v>
      </c>
      <c r="O114" s="60">
        <f>'A-2 Identify Outlier-Exclusion'!O114</f>
        <v>28808.59</v>
      </c>
      <c r="P114" s="37">
        <f>IF(OR('A-2 Identify Outlier-Exclusion'!P114="",'A-2 Identify Outlier-Exclusion'!P114&lt;0.9),'A-2 Identify Outlier-Exclusion'!P114,'A-2 Identify Outlier-Exclusion'!$P$126)</f>
        <v>6.2132939942048118E-2</v>
      </c>
      <c r="Q114" s="36">
        <f t="shared" si="7"/>
        <v>33.84045908656968</v>
      </c>
    </row>
    <row r="115" spans="1:17" x14ac:dyDescent="0.25">
      <c r="A115" s="43" t="s">
        <v>365</v>
      </c>
      <c r="B115" s="43" t="s">
        <v>199</v>
      </c>
      <c r="C115" s="60">
        <f>IF(VLOOKUP(B115,'[1]UT Rate Study HCBS Survey'!$B$6:$FG$139,129,0)=0,"",VLOOKUP(B115,'[1]UT Rate Study HCBS Survey'!$B$6:$FG$139,129,0))</f>
        <v>744250.77</v>
      </c>
      <c r="D115" s="61">
        <f>IF(VLOOKUP(B115,'[1]UT Rate Study HCBS Survey'!$B$6:$FG$139,130,0)=0,"",VLOOKUP(B115,'[1]UT Rate Study HCBS Survey'!$B$6:$FG$139,130,0))</f>
        <v>34522.9</v>
      </c>
      <c r="E115" s="36">
        <f t="shared" si="3"/>
        <v>21.558176456786654</v>
      </c>
      <c r="F115" s="60">
        <f>'A-2 Identify Outlier-Exclusion'!F115</f>
        <v>44082.65</v>
      </c>
      <c r="G115" s="60">
        <f>'A-2 Identify Outlier-Exclusion'!G115</f>
        <v>855879.5</v>
      </c>
      <c r="H115" s="37">
        <f>IF(OR('A-2 Identify Outlier-Exclusion'!H115="",'A-2 Identify Outlier-Exclusion'!H115&lt;0.5),'A-2 Identify Outlier-Exclusion'!H115,'A-2 Identify Outlier-Exclusion'!$H$126)</f>
        <v>5.1505673403791072E-2</v>
      </c>
      <c r="I115" s="60" t="str">
        <f>'A-2 Identify Outlier-Exclusion'!I115</f>
        <v/>
      </c>
      <c r="J115" s="60">
        <f>'A-2 Identify Outlier-Exclusion'!J115</f>
        <v>240000</v>
      </c>
      <c r="K115" s="60">
        <f>'A-2 Identify Outlier-Exclusion'!K115</f>
        <v>5125.6400000000003</v>
      </c>
      <c r="L115" s="60">
        <f>'A-2 Identify Outlier-Exclusion'!L115</f>
        <v>85000</v>
      </c>
      <c r="M115" s="37">
        <f>IF(OR('A-2 Identify Outlier-Exclusion'!M115="",'A-2 Identify Outlier-Exclusion'!M115&lt;1.5),'A-2 Identify Outlier-Exclusion'!M115,'A-2 Identify Outlier-Exclusion'!$M$126)</f>
        <v>0.44356775069241783</v>
      </c>
      <c r="N115" s="60">
        <f>'A-2 Identify Outlier-Exclusion'!N115</f>
        <v>1026468.6</v>
      </c>
      <c r="O115" s="60">
        <f>'A-2 Identify Outlier-Exclusion'!O115</f>
        <v>283960</v>
      </c>
      <c r="P115" s="37">
        <f>IF(OR('A-2 Identify Outlier-Exclusion'!P115="",'A-2 Identify Outlier-Exclusion'!P115&lt;0.9),'A-2 Identify Outlier-Exclusion'!P115,'A-2 Identify Outlier-Exclusion'!$P$126)</f>
        <v>0.27663778512075282</v>
      </c>
      <c r="Q115" s="36">
        <f t="shared" si="7"/>
        <v>44.557285450552214</v>
      </c>
    </row>
    <row r="116" spans="1:17" x14ac:dyDescent="0.25">
      <c r="A116" s="43" t="s">
        <v>365</v>
      </c>
      <c r="B116" s="43" t="s">
        <v>200</v>
      </c>
      <c r="C116" s="60">
        <f>IF(VLOOKUP(B116,'[1]UT Rate Study HCBS Survey'!$B$6:$FG$139,129,0)=0,"",VLOOKUP(B116,'[1]UT Rate Study HCBS Survey'!$B$6:$FG$139,129,0))</f>
        <v>246331</v>
      </c>
      <c r="D116" s="61">
        <f>IF(VLOOKUP(B116,'[1]UT Rate Study HCBS Survey'!$B$6:$FG$139,130,0)=0,"",VLOOKUP(B116,'[1]UT Rate Study HCBS Survey'!$B$6:$FG$139,130,0))</f>
        <v>70734</v>
      </c>
      <c r="E116" s="36">
        <f t="shared" si="3"/>
        <v>3.4824978086917184</v>
      </c>
      <c r="F116" s="60">
        <f>'A-2 Identify Outlier-Exclusion'!F116</f>
        <v>19127</v>
      </c>
      <c r="G116" s="60">
        <f>'A-2 Identify Outlier-Exclusion'!G116</f>
        <v>246331</v>
      </c>
      <c r="H116" s="37">
        <f>IF(OR('A-2 Identify Outlier-Exclusion'!H116="",'A-2 Identify Outlier-Exclusion'!H116&lt;0.5),'A-2 Identify Outlier-Exclusion'!H116,'A-2 Identify Outlier-Exclusion'!$H$126)</f>
        <v>7.7647555524883186E-2</v>
      </c>
      <c r="I116" s="60">
        <f>'A-2 Identify Outlier-Exclusion'!I116</f>
        <v>11421</v>
      </c>
      <c r="J116" s="60">
        <f>'A-2 Identify Outlier-Exclusion'!J116</f>
        <v>6000</v>
      </c>
      <c r="K116" s="60" t="str">
        <f>'A-2 Identify Outlier-Exclusion'!K116</f>
        <v/>
      </c>
      <c r="L116" s="60" t="str">
        <f>'A-2 Identify Outlier-Exclusion'!L116</f>
        <v/>
      </c>
      <c r="M116" s="37">
        <f>IF(OR('A-2 Identify Outlier-Exclusion'!M116="",'A-2 Identify Outlier-Exclusion'!M116&lt;1.5),'A-2 Identify Outlier-Exclusion'!M116,'A-2 Identify Outlier-Exclusion'!$M$126)</f>
        <v>2.3278189887954312E-2</v>
      </c>
      <c r="N116" s="60">
        <f>'A-2 Identify Outlier-Exclusion'!N116</f>
        <v>573262</v>
      </c>
      <c r="O116" s="60">
        <f>'A-2 Identify Outlier-Exclusion'!O116</f>
        <v>11959</v>
      </c>
      <c r="P116" s="37">
        <f>IF(OR('A-2 Identify Outlier-Exclusion'!P116="",'A-2 Identify Outlier-Exclusion'!P116&lt;0.9),'A-2 Identify Outlier-Exclusion'!P116,'A-2 Identify Outlier-Exclusion'!$P$126)</f>
        <v>2.0861316466118458E-2</v>
      </c>
      <c r="Q116" s="36">
        <f t="shared" si="7"/>
        <v>3.9156572612319174</v>
      </c>
    </row>
    <row r="117" spans="1:17" x14ac:dyDescent="0.25">
      <c r="A117" s="43" t="s">
        <v>365</v>
      </c>
      <c r="B117" s="43" t="s">
        <v>201</v>
      </c>
      <c r="C117" s="60">
        <f>IF(VLOOKUP(B117,'[1]UT Rate Study HCBS Survey'!$B$6:$FG$139,129,0)=0,"",VLOOKUP(B117,'[1]UT Rate Study HCBS Survey'!$B$6:$FG$139,129,0))</f>
        <v>267673</v>
      </c>
      <c r="D117" s="61">
        <f>IF(VLOOKUP(B117,'[1]UT Rate Study HCBS Survey'!$B$6:$FG$139,130,0)=0,"",VLOOKUP(B117,'[1]UT Rate Study HCBS Survey'!$B$6:$FG$139,130,0))</f>
        <v>13506</v>
      </c>
      <c r="E117" s="36">
        <f t="shared" si="3"/>
        <v>19.818821264623132</v>
      </c>
      <c r="F117" s="60">
        <f>'A-2 Identify Outlier-Exclusion'!F117</f>
        <v>24647</v>
      </c>
      <c r="G117" s="60">
        <f>'A-2 Identify Outlier-Exclusion'!G117</f>
        <v>322320</v>
      </c>
      <c r="H117" s="37">
        <f>IF(OR('A-2 Identify Outlier-Exclusion'!H117="",'A-2 Identify Outlier-Exclusion'!H117&lt;0.5),'A-2 Identify Outlier-Exclusion'!H117,'A-2 Identify Outlier-Exclusion'!$H$126)</f>
        <v>7.6467485728468607E-2</v>
      </c>
      <c r="I117" s="60" t="str">
        <f>'A-2 Identify Outlier-Exclusion'!I117</f>
        <v/>
      </c>
      <c r="J117" s="60">
        <f>'A-2 Identify Outlier-Exclusion'!J117</f>
        <v>30000</v>
      </c>
      <c r="K117" s="60" t="str">
        <f>'A-2 Identify Outlier-Exclusion'!K117</f>
        <v/>
      </c>
      <c r="L117" s="60" t="str">
        <f>'A-2 Identify Outlier-Exclusion'!L117</f>
        <v/>
      </c>
      <c r="M117" s="37">
        <f>IF(OR('A-2 Identify Outlier-Exclusion'!M117="",'A-2 Identify Outlier-Exclusion'!M117&lt;1.5),'A-2 Identify Outlier-Exclusion'!M117,'A-2 Identify Outlier-Exclusion'!$M$126)</f>
        <v>0.11207704923544773</v>
      </c>
      <c r="N117" s="60">
        <f>'A-2 Identify Outlier-Exclusion'!N117</f>
        <v>521650</v>
      </c>
      <c r="O117" s="60" t="str">
        <f>'A-2 Identify Outlier-Exclusion'!O117</f>
        <v/>
      </c>
      <c r="P117" s="37" t="str">
        <f>IF(OR('A-2 Identify Outlier-Exclusion'!P117="",'A-2 Identify Outlier-Exclusion'!P117&lt;0.9),'A-2 Identify Outlier-Exclusion'!P117,'A-2 Identify Outlier-Exclusion'!$P$126)</f>
        <v/>
      </c>
      <c r="Q117" s="36">
        <f t="shared" si="5"/>
        <v>23.555551703494476</v>
      </c>
    </row>
    <row r="118" spans="1:17" x14ac:dyDescent="0.25">
      <c r="A118" s="43" t="s">
        <v>365</v>
      </c>
      <c r="B118" s="43" t="s">
        <v>202</v>
      </c>
      <c r="C118" s="60">
        <f>IF(VLOOKUP(B118,'[1]UT Rate Study HCBS Survey'!$B$6:$FG$139,129,0)=0,"",VLOOKUP(B118,'[1]UT Rate Study HCBS Survey'!$B$6:$FG$139,129,0))</f>
        <v>3255783</v>
      </c>
      <c r="D118" s="61">
        <f>IF(VLOOKUP(B118,'[1]UT Rate Study HCBS Survey'!$B$6:$FG$139,130,0)=0,"",VLOOKUP(B118,'[1]UT Rate Study HCBS Survey'!$B$6:$FG$139,130,0))</f>
        <v>251578.04</v>
      </c>
      <c r="E118" s="36">
        <f t="shared" si="3"/>
        <v>12.941443537758701</v>
      </c>
      <c r="F118" s="60">
        <f>'A-2 Identify Outlier-Exclusion'!F118</f>
        <v>1446398.01</v>
      </c>
      <c r="G118" s="60">
        <f>'A-2 Identify Outlier-Exclusion'!G118</f>
        <v>8132040.3399999999</v>
      </c>
      <c r="H118" s="37">
        <f>IF(OR('A-2 Identify Outlier-Exclusion'!H118="",'A-2 Identify Outlier-Exclusion'!H118&lt;0.5),'A-2 Identify Outlier-Exclusion'!H118,'A-2 Identify Outlier-Exclusion'!$H$126)</f>
        <v>0.1778640967735288</v>
      </c>
      <c r="I118" s="60" t="str">
        <f>'A-2 Identify Outlier-Exclusion'!I118</f>
        <v/>
      </c>
      <c r="J118" s="60">
        <f>'A-2 Identify Outlier-Exclusion'!J118</f>
        <v>431167.22</v>
      </c>
      <c r="K118" s="60">
        <f>'A-2 Identify Outlier-Exclusion'!K118</f>
        <v>240777.17</v>
      </c>
      <c r="L118" s="60">
        <f>'A-2 Identify Outlier-Exclusion'!L118</f>
        <v>4938082.63</v>
      </c>
      <c r="M118" s="37">
        <f>IF(OR('A-2 Identify Outlier-Exclusion'!M118="",'A-2 Identify Outlier-Exclusion'!M118&lt;1.5),'A-2 Identify Outlier-Exclusion'!M118,'A-2 Identify Outlier-Exclusion'!$M$126)</f>
        <v>0.19010516950587109</v>
      </c>
      <c r="N118" s="60">
        <f>'A-2 Identify Outlier-Exclusion'!N118</f>
        <v>19512251.109999999</v>
      </c>
      <c r="O118" s="60">
        <f>'A-2 Identify Outlier-Exclusion'!O118</f>
        <v>2309532.41</v>
      </c>
      <c r="P118" s="37">
        <f>IF(OR('A-2 Identify Outlier-Exclusion'!P118="",'A-2 Identify Outlier-Exclusion'!P118&lt;0.9),'A-2 Identify Outlier-Exclusion'!P118,'A-2 Identify Outlier-Exclusion'!$P$126)</f>
        <v>0.11836319638262385</v>
      </c>
      <c r="Q118" s="36">
        <f t="shared" si="7"/>
        <v>20.080260883286854</v>
      </c>
    </row>
    <row r="119" spans="1:17" x14ac:dyDescent="0.25">
      <c r="A119" s="43" t="s">
        <v>365</v>
      </c>
      <c r="B119" s="43" t="s">
        <v>203</v>
      </c>
      <c r="C119" s="60">
        <f>IF(VLOOKUP(B119,'[1]UT Rate Study HCBS Survey'!$B$6:$FG$139,129,0)=0,"",VLOOKUP(B119,'[1]UT Rate Study HCBS Survey'!$B$6:$FG$139,129,0))</f>
        <v>21802</v>
      </c>
      <c r="D119" s="61">
        <f>IF(VLOOKUP(B119,'[1]UT Rate Study HCBS Survey'!$B$6:$FG$139,130,0)=0,"",VLOOKUP(B119,'[1]UT Rate Study HCBS Survey'!$B$6:$FG$139,130,0))</f>
        <v>688</v>
      </c>
      <c r="E119" s="36">
        <f t="shared" si="3"/>
        <v>31.688953488372093</v>
      </c>
      <c r="F119" s="60">
        <f>'A-2 Identify Outlier-Exclusion'!F119</f>
        <v>16227</v>
      </c>
      <c r="G119" s="60">
        <f>'A-2 Identify Outlier-Exclusion'!G119</f>
        <v>49381</v>
      </c>
      <c r="H119" s="37">
        <f>IF(OR('A-2 Identify Outlier-Exclusion'!H119="",'A-2 Identify Outlier-Exclusion'!H119&lt;0.5),'A-2 Identify Outlier-Exclusion'!H119,'A-2 Identify Outlier-Exclusion'!$H$126)</f>
        <v>0.32860816913387741</v>
      </c>
      <c r="I119" s="60">
        <f>'A-2 Identify Outlier-Exclusion'!I119</f>
        <v>218</v>
      </c>
      <c r="J119" s="60">
        <f>'A-2 Identify Outlier-Exclusion'!J119</f>
        <v>11181</v>
      </c>
      <c r="K119" s="60">
        <f>'A-2 Identify Outlier-Exclusion'!K119</f>
        <v>261</v>
      </c>
      <c r="L119" s="60" t="str">
        <f>'A-2 Identify Outlier-Exclusion'!L119</f>
        <v/>
      </c>
      <c r="M119" s="37">
        <f>IF(OR('A-2 Identify Outlier-Exclusion'!M119="",'A-2 Identify Outlier-Exclusion'!M119&lt;1.5),'A-2 Identify Outlier-Exclusion'!M119,'A-2 Identify Outlier-Exclusion'!$M$126)</f>
        <v>0.51961852861035418</v>
      </c>
      <c r="N119" s="60">
        <f>'A-2 Identify Outlier-Exclusion'!N119</f>
        <v>32994</v>
      </c>
      <c r="O119" s="60">
        <f>'A-2 Identify Outlier-Exclusion'!O119</f>
        <v>6879</v>
      </c>
      <c r="P119" s="37">
        <f>IF(OR('A-2 Identify Outlier-Exclusion'!P119="",'A-2 Identify Outlier-Exclusion'!P119&lt;0.9),'A-2 Identify Outlier-Exclusion'!P119,'A-2 Identify Outlier-Exclusion'!$P$126)</f>
        <v>0.20849245317330423</v>
      </c>
      <c r="Q119" s="36">
        <f t="shared" si="7"/>
        <v>73.99597147948397</v>
      </c>
    </row>
    <row r="120" spans="1:17" x14ac:dyDescent="0.25">
      <c r="A120" s="43" t="s">
        <v>365</v>
      </c>
      <c r="B120" s="43" t="s">
        <v>204</v>
      </c>
      <c r="C120" s="60">
        <v>317441</v>
      </c>
      <c r="D120" s="61">
        <f>IF(VLOOKUP(B120,'[1]UT Rate Study HCBS Survey'!$B$6:$FG$139,130,0)=0,"",VLOOKUP(B120,'[1]UT Rate Study HCBS Survey'!$B$6:$FG$139,130,0))</f>
        <v>20659</v>
      </c>
      <c r="E120" s="36">
        <f t="shared" si="3"/>
        <v>15.365748584152186</v>
      </c>
      <c r="F120" s="60" t="str">
        <f>'A-2 Identify Outlier-Exclusion'!F120</f>
        <v/>
      </c>
      <c r="G120" s="60">
        <f>'A-2 Identify Outlier-Exclusion'!G120</f>
        <v>397444</v>
      </c>
      <c r="H120" s="37" t="str">
        <f>IF(OR('A-2 Identify Outlier-Exclusion'!H120="",'A-2 Identify Outlier-Exclusion'!H120&lt;0.5),'A-2 Identify Outlier-Exclusion'!H120,'A-2 Identify Outlier-Exclusion'!$H$126)</f>
        <v/>
      </c>
      <c r="I120" s="60">
        <f>'A-2 Identify Outlier-Exclusion'!I120</f>
        <v>317441</v>
      </c>
      <c r="J120" s="60">
        <f>'A-2 Identify Outlier-Exclusion'!J120</f>
        <v>120000</v>
      </c>
      <c r="K120" s="60">
        <f>'A-2 Identify Outlier-Exclusion'!K120</f>
        <v>4704</v>
      </c>
      <c r="L120" s="60">
        <f>'A-2 Identify Outlier-Exclusion'!L120</f>
        <v>5360</v>
      </c>
      <c r="M120" s="37">
        <f>IF(OR('A-2 Identify Outlier-Exclusion'!M120="",'A-2 Identify Outlier-Exclusion'!M120&lt;1.5),'A-2 Identify Outlier-Exclusion'!M120,'A-2 Identify Outlier-Exclusion'!$M$126)</f>
        <v>0.20486326592973184</v>
      </c>
      <c r="N120" s="60">
        <f>'A-2 Identify Outlier-Exclusion'!N120</f>
        <v>561181</v>
      </c>
      <c r="O120" s="60">
        <f>'A-2 Identify Outlier-Exclusion'!O120</f>
        <v>523831</v>
      </c>
      <c r="P120" s="37">
        <f>IF(OR('A-2 Identify Outlier-Exclusion'!P120="",'A-2 Identify Outlier-Exclusion'!P120&lt;0.9),'A-2 Identify Outlier-Exclusion'!P120,'A-2 Identify Outlier-Exclusion'!$P$126)</f>
        <v>0.17183647910687574</v>
      </c>
      <c r="Q120" s="36">
        <f>IFERROR((E120+(E120*M120))/(1-P120),"")</f>
        <v>22.355036844162044</v>
      </c>
    </row>
    <row r="121" spans="1:17" x14ac:dyDescent="0.25">
      <c r="A121" s="43" t="s">
        <v>365</v>
      </c>
      <c r="B121" s="43" t="s">
        <v>205</v>
      </c>
      <c r="C121" s="60">
        <f>IF(VLOOKUP(B121,'[1]UT Rate Study HCBS Survey'!$B$6:$FG$139,129,0)=0,"",VLOOKUP(B121,'[1]UT Rate Study HCBS Survey'!$B$6:$FG$139,129,0))</f>
        <v>234505</v>
      </c>
      <c r="D121" s="61">
        <f>IF(VLOOKUP(B121,'[1]UT Rate Study HCBS Survey'!$B$6:$FG$139,130,0)=0,"",VLOOKUP(B121,'[1]UT Rate Study HCBS Survey'!$B$6:$FG$139,130,0))</f>
        <v>13659</v>
      </c>
      <c r="E121" s="36">
        <f t="shared" si="3"/>
        <v>17.168533567611099</v>
      </c>
      <c r="F121" s="60" t="str">
        <f>'A-2 Identify Outlier-Exclusion'!F121</f>
        <v/>
      </c>
      <c r="G121" s="60">
        <f>'A-2 Identify Outlier-Exclusion'!G121</f>
        <v>450666</v>
      </c>
      <c r="H121" s="37" t="str">
        <f>IF(OR('A-2 Identify Outlier-Exclusion'!H121="",'A-2 Identify Outlier-Exclusion'!H121&lt;0.5),'A-2 Identify Outlier-Exclusion'!H121,'A-2 Identify Outlier-Exclusion'!$H$126)</f>
        <v/>
      </c>
      <c r="I121" s="60">
        <f>'A-2 Identify Outlier-Exclusion'!I121</f>
        <v>22800</v>
      </c>
      <c r="J121" s="60">
        <f>'A-2 Identify Outlier-Exclusion'!J121</f>
        <v>108001</v>
      </c>
      <c r="K121" s="60" t="str">
        <f>'A-2 Identify Outlier-Exclusion'!K121</f>
        <v/>
      </c>
      <c r="L121" s="60">
        <f>'A-2 Identify Outlier-Exclusion'!L121</f>
        <v>446812</v>
      </c>
      <c r="M121" s="37">
        <f>IF(OR('A-2 Identify Outlier-Exclusion'!M121="",'A-2 Identify Outlier-Exclusion'!M121&lt;1.5),'A-2 Identify Outlier-Exclusion'!M121,'A-2 Identify Outlier-Exclusion'!$M$126)</f>
        <v>0.19010516950587109</v>
      </c>
      <c r="N121" s="60">
        <f>'A-2 Identify Outlier-Exclusion'!N121</f>
        <v>1080052</v>
      </c>
      <c r="O121" s="60">
        <f>'A-2 Identify Outlier-Exclusion'!O121</f>
        <v>701537</v>
      </c>
      <c r="P121" s="37">
        <f>IF(OR('A-2 Identify Outlier-Exclusion'!P121="",'A-2 Identify Outlier-Exclusion'!P121&lt;0.9),'A-2 Identify Outlier-Exclusion'!P121,'A-2 Identify Outlier-Exclusion'!$P$126)</f>
        <v>0.64954002214708184</v>
      </c>
      <c r="Q121" s="36">
        <f>IFERROR((E121+(E121*M121))/(1-P121),"")</f>
        <v>58.301551797233017</v>
      </c>
    </row>
    <row r="122" spans="1:17" x14ac:dyDescent="0.25">
      <c r="A122" s="43" t="s">
        <v>365</v>
      </c>
      <c r="B122" s="43" t="s">
        <v>206</v>
      </c>
      <c r="C122" s="60">
        <f>IF(VLOOKUP(B122,'[1]UT Rate Study HCBS Survey'!$B$6:$FG$139,129,0)=0,"",VLOOKUP(B122,'[1]UT Rate Study HCBS Survey'!$B$6:$FG$139,129,0))</f>
        <v>48000</v>
      </c>
      <c r="D122" s="61">
        <f>IF(VLOOKUP(B122,'[1]UT Rate Study HCBS Survey'!$B$6:$FG$139,130,0)=0,"",VLOOKUP(B122,'[1]UT Rate Study HCBS Survey'!$B$6:$FG$139,130,0))</f>
        <v>1800</v>
      </c>
      <c r="E122" s="36">
        <f t="shared" si="3"/>
        <v>26.666666666666668</v>
      </c>
      <c r="F122" s="60" t="str">
        <f>'A-2 Identify Outlier-Exclusion'!F122</f>
        <v/>
      </c>
      <c r="G122" s="60">
        <f>'A-2 Identify Outlier-Exclusion'!G122</f>
        <v>78000</v>
      </c>
      <c r="H122" s="37" t="str">
        <f>IF(OR('A-2 Identify Outlier-Exclusion'!H122="",'A-2 Identify Outlier-Exclusion'!H122&lt;0.5),'A-2 Identify Outlier-Exclusion'!H122,'A-2 Identify Outlier-Exclusion'!$H$126)</f>
        <v/>
      </c>
      <c r="I122" s="60">
        <f>'A-2 Identify Outlier-Exclusion'!I122</f>
        <v>68000</v>
      </c>
      <c r="J122" s="60">
        <f>'A-2 Identify Outlier-Exclusion'!J122</f>
        <v>30000</v>
      </c>
      <c r="K122" s="60" t="str">
        <f>'A-2 Identify Outlier-Exclusion'!K122</f>
        <v/>
      </c>
      <c r="L122" s="60">
        <f>'A-2 Identify Outlier-Exclusion'!L122</f>
        <v>4100</v>
      </c>
      <c r="M122" s="37">
        <f>IF(OR('A-2 Identify Outlier-Exclusion'!M122="",'A-2 Identify Outlier-Exclusion'!M122&lt;1.5),'A-2 Identify Outlier-Exclusion'!M122,'A-2 Identify Outlier-Exclusion'!$M$126)</f>
        <v>0.29396551724137931</v>
      </c>
      <c r="N122" s="60">
        <f>'A-2 Identify Outlier-Exclusion'!N122</f>
        <v>97951.43</v>
      </c>
      <c r="O122" s="60">
        <f>'A-2 Identify Outlier-Exclusion'!O122</f>
        <v>19951.43</v>
      </c>
      <c r="P122" s="37">
        <f>IF(OR('A-2 Identify Outlier-Exclusion'!P122="",'A-2 Identify Outlier-Exclusion'!P122&lt;0.9),'A-2 Identify Outlier-Exclusion'!P122,'A-2 Identify Outlier-Exclusion'!$P$126)</f>
        <v>0.20368697016470308</v>
      </c>
      <c r="Q122" s="36">
        <f>IFERROR((E122+(E122*M122))/(1-P122),"")</f>
        <v>43.331888131447094</v>
      </c>
    </row>
    <row r="123" spans="1:17" x14ac:dyDescent="0.25">
      <c r="A123" s="43" t="s">
        <v>365</v>
      </c>
      <c r="B123" s="43" t="s">
        <v>207</v>
      </c>
      <c r="C123" s="60">
        <f>IF(VLOOKUP(B123,'[1]UT Rate Study HCBS Survey'!$B$6:$FG$139,129,0)=0,"",VLOOKUP(B123,'[1]UT Rate Study HCBS Survey'!$B$6:$FG$139,129,0))</f>
        <v>70080</v>
      </c>
      <c r="D123" s="61">
        <f>IF(VLOOKUP(B123,'[1]UT Rate Study HCBS Survey'!$B$6:$FG$139,130,0)=0,"",VLOOKUP(B123,'[1]UT Rate Study HCBS Survey'!$B$6:$FG$139,130,0))</f>
        <v>4644</v>
      </c>
      <c r="E123" s="36">
        <f t="shared" si="3"/>
        <v>15.090439276485789</v>
      </c>
      <c r="F123" s="60">
        <f>'A-2 Identify Outlier-Exclusion'!F123</f>
        <v>12354</v>
      </c>
      <c r="G123" s="60">
        <f>'A-2 Identify Outlier-Exclusion'!G123</f>
        <v>150484</v>
      </c>
      <c r="H123" s="37">
        <f>IF(OR('A-2 Identify Outlier-Exclusion'!H123="",'A-2 Identify Outlier-Exclusion'!H123&lt;0.5),'A-2 Identify Outlier-Exclusion'!H123,'A-2 Identify Outlier-Exclusion'!$H$126)</f>
        <v>8.2095106456500352E-2</v>
      </c>
      <c r="I123" s="60">
        <f>'A-2 Identify Outlier-Exclusion'!I123</f>
        <v>2400</v>
      </c>
      <c r="J123" s="60">
        <f>'A-2 Identify Outlier-Exclusion'!J123</f>
        <v>80404</v>
      </c>
      <c r="K123" s="60" t="str">
        <f>'A-2 Identify Outlier-Exclusion'!K123</f>
        <v/>
      </c>
      <c r="L123" s="60">
        <f>'A-2 Identify Outlier-Exclusion'!L123</f>
        <v>1200</v>
      </c>
      <c r="M123" s="37">
        <f>IF(OR('A-2 Identify Outlier-Exclusion'!M123="",'A-2 Identify Outlier-Exclusion'!M123&lt;1.5),'A-2 Identify Outlier-Exclusion'!M123,'A-2 Identify Outlier-Exclusion'!$M$126)</f>
        <v>1.1258830022075055</v>
      </c>
      <c r="N123" s="60">
        <f>'A-2 Identify Outlier-Exclusion'!N123</f>
        <v>362649</v>
      </c>
      <c r="O123" s="60">
        <f>'A-2 Identify Outlier-Exclusion'!O123</f>
        <v>42502</v>
      </c>
      <c r="P123" s="37">
        <f>IF(OR('A-2 Identify Outlier-Exclusion'!P123="",'A-2 Identify Outlier-Exclusion'!P123&lt;0.9),'A-2 Identify Outlier-Exclusion'!P123,'A-2 Identify Outlier-Exclusion'!$P$126)</f>
        <v>0.11719872383489269</v>
      </c>
      <c r="Q123" s="36">
        <f t="shared" si="7"/>
        <v>37.742763260768683</v>
      </c>
    </row>
    <row r="124" spans="1:17" x14ac:dyDescent="0.25">
      <c r="A124" s="43" t="s">
        <v>365</v>
      </c>
      <c r="B124" s="43" t="s">
        <v>208</v>
      </c>
      <c r="C124" s="60">
        <f>IF(VLOOKUP(B124,'[1]UT Rate Study HCBS Survey'!$B$6:$FG$139,129,0)=0,"",VLOOKUP(B124,'[1]UT Rate Study HCBS Survey'!$B$6:$FG$139,129,0))</f>
        <v>90861</v>
      </c>
      <c r="D124" s="61">
        <f>IF(VLOOKUP(B124,'[1]UT Rate Study HCBS Survey'!$B$6:$FG$139,130,0)=0,"",VLOOKUP(B124,'[1]UT Rate Study HCBS Survey'!$B$6:$FG$139,130,0))</f>
        <v>6400</v>
      </c>
      <c r="E124" s="36">
        <f t="shared" si="3"/>
        <v>14.19703125</v>
      </c>
      <c r="F124" s="60">
        <f>'A-2 Identify Outlier-Exclusion'!F124</f>
        <v>13963</v>
      </c>
      <c r="G124" s="60">
        <f>'A-2 Identify Outlier-Exclusion'!G124</f>
        <v>170381</v>
      </c>
      <c r="H124" s="37">
        <f>IF(OR('A-2 Identify Outlier-Exclusion'!H124="",'A-2 Identify Outlier-Exclusion'!H124&lt;0.5),'A-2 Identify Outlier-Exclusion'!H124,'A-2 Identify Outlier-Exclusion'!$H$126)</f>
        <v>8.1951626061591371E-2</v>
      </c>
      <c r="I124" s="60">
        <f>'A-2 Identify Outlier-Exclusion'!I124</f>
        <v>2400</v>
      </c>
      <c r="J124" s="60">
        <f>'A-2 Identify Outlier-Exclusion'!J124</f>
        <v>79520</v>
      </c>
      <c r="K124" s="60" t="str">
        <f>'A-2 Identify Outlier-Exclusion'!K124</f>
        <v/>
      </c>
      <c r="L124" s="60">
        <f>'A-2 Identify Outlier-Exclusion'!L124</f>
        <v>1200</v>
      </c>
      <c r="M124" s="37">
        <f>IF(OR('A-2 Identify Outlier-Exclusion'!M124="",'A-2 Identify Outlier-Exclusion'!M124&lt;1.5),'A-2 Identify Outlier-Exclusion'!M124,'A-2 Identify Outlier-Exclusion'!$M$126)</f>
        <v>0.86552792700056824</v>
      </c>
      <c r="N124" s="60">
        <f>'A-2 Identify Outlier-Exclusion'!N124</f>
        <v>296712</v>
      </c>
      <c r="O124" s="60">
        <f>'A-2 Identify Outlier-Exclusion'!O124</f>
        <v>34775</v>
      </c>
      <c r="P124" s="37">
        <f>IF(OR('A-2 Identify Outlier-Exclusion'!P124="",'A-2 Identify Outlier-Exclusion'!P124&lt;0.9),'A-2 Identify Outlier-Exclusion'!P124,'A-2 Identify Outlier-Exclusion'!$P$126)</f>
        <v>0.11720119172800561</v>
      </c>
      <c r="Q124" s="36">
        <f t="shared" si="7"/>
        <v>31.319059127049599</v>
      </c>
    </row>
    <row r="125" spans="1:17" x14ac:dyDescent="0.25">
      <c r="A125" s="38" t="s">
        <v>42</v>
      </c>
      <c r="B125" s="108"/>
      <c r="C125" s="110"/>
      <c r="D125" s="109"/>
      <c r="E125" s="31">
        <f>AVERAGE(E7:E124)</f>
        <v>21.41350528550911</v>
      </c>
      <c r="F125" s="109"/>
      <c r="G125" s="109"/>
      <c r="H125" s="25">
        <f>AVERAGE(H7:H124)</f>
        <v>0.13642665296968534</v>
      </c>
      <c r="I125" s="109"/>
      <c r="J125" s="109"/>
      <c r="K125" s="109"/>
      <c r="L125" s="109"/>
      <c r="M125" s="25">
        <f>AVERAGE(M7:M124)</f>
        <v>0.34096338288167122</v>
      </c>
      <c r="N125" s="109"/>
      <c r="O125" s="109"/>
      <c r="P125" s="25">
        <f>AVERAGE(P7:P124)</f>
        <v>0.21784200583925609</v>
      </c>
      <c r="Q125" s="109"/>
    </row>
    <row r="126" spans="1:17" x14ac:dyDescent="0.25">
      <c r="A126" s="108"/>
      <c r="B126" s="108"/>
      <c r="C126" s="110"/>
      <c r="D126" s="110"/>
      <c r="F126" s="110"/>
      <c r="G126" s="110"/>
      <c r="H126" s="114"/>
      <c r="M126" s="114"/>
      <c r="P126" s="114"/>
    </row>
    <row r="127" spans="1:17" x14ac:dyDescent="0.25">
      <c r="A127" s="108" t="s">
        <v>412</v>
      </c>
      <c r="B127" s="108"/>
      <c r="C127" s="110"/>
    </row>
    <row r="128" spans="1:17" x14ac:dyDescent="0.25">
      <c r="A128" s="108" t="s">
        <v>413</v>
      </c>
    </row>
  </sheetData>
  <autoFilter ref="A6:R125" xr:uid="{00000000-0009-0000-0000-000003000000}"/>
  <pageMargins left="0.7" right="0.7" top="0.75" bottom="0.75" header="0.3" footer="0.3"/>
  <customProperties>
    <customPr name="OrphanNamesChecked" r:id="rId1"/>
  </customProperties>
  <extLst>
    <ext xmlns:x14="http://schemas.microsoft.com/office/spreadsheetml/2009/9/main" uri="{78C0D931-6437-407d-A8EE-F0AAD7539E65}">
      <x14:conditionalFormattings>
        <x14:conditionalFormatting xmlns:xm="http://schemas.microsoft.com/office/excel/2006/main">
          <x14:cfRule type="expression" priority="4" id="{B074BE9F-C964-4FA1-B1DD-F4E657F2EDF4}">
            <xm:f>$C$7&lt;&gt;'A-2 Identify Outlier-Exclusion'!C7</xm:f>
            <x14:dxf>
              <fill>
                <patternFill>
                  <bgColor theme="6" tint="0.79998168889431442"/>
                </patternFill>
              </fill>
            </x14:dxf>
          </x14:cfRule>
          <xm:sqref>C7</xm:sqref>
        </x14:conditionalFormatting>
        <x14:conditionalFormatting xmlns:xm="http://schemas.microsoft.com/office/excel/2006/main">
          <x14:cfRule type="expression" priority="7" id="{20AE8F4D-D678-4914-A0E0-19311DD868A8}">
            <xm:f>H7&lt;&gt;'A-2 Identify Outlier-Exclusion'!H7</xm:f>
            <x14:dxf>
              <fill>
                <patternFill>
                  <bgColor theme="6" tint="0.79998168889431442"/>
                </patternFill>
              </fill>
            </x14:dxf>
          </x14:cfRule>
          <xm:sqref>H7:H124 M7:M124 P7:P124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1"/>
  <sheetViews>
    <sheetView workbookViewId="0">
      <selection activeCell="L32" sqref="L32"/>
    </sheetView>
  </sheetViews>
  <sheetFormatPr defaultRowHeight="15" x14ac:dyDescent="0.25"/>
  <cols>
    <col min="1" max="1" width="17.7109375" customWidth="1"/>
    <col min="2" max="2" width="40.140625" customWidth="1"/>
    <col min="3" max="3" width="10.5703125" bestFit="1" customWidth="1"/>
    <col min="4" max="4" width="70.5703125" bestFit="1" customWidth="1"/>
    <col min="5" max="9" width="12.28515625" customWidth="1"/>
    <col min="10" max="10" width="14.28515625" bestFit="1" customWidth="1"/>
  </cols>
  <sheetData>
    <row r="1" spans="1:12" x14ac:dyDescent="0.25">
      <c r="A1" s="24" t="str">
        <f>Cover!A1</f>
        <v>Utah Department of Health &amp; Human Services, Office of Reimbursement, Coordinated Care &amp; Audit</v>
      </c>
      <c r="B1" s="24"/>
      <c r="C1" s="24"/>
      <c r="D1" s="24"/>
      <c r="E1" s="24"/>
      <c r="F1" s="24"/>
      <c r="G1" s="24"/>
      <c r="H1" s="24"/>
      <c r="I1" s="24"/>
    </row>
    <row r="2" spans="1:12" x14ac:dyDescent="0.25">
      <c r="A2" s="24" t="str">
        <f>Cover!A2</f>
        <v>Medicaid Rate Study</v>
      </c>
      <c r="B2" s="24"/>
      <c r="C2" s="24"/>
      <c r="D2" s="24"/>
      <c r="E2" s="24"/>
      <c r="F2" s="24"/>
      <c r="G2" s="24"/>
      <c r="H2" s="24"/>
      <c r="I2" s="24"/>
    </row>
    <row r="3" spans="1:12" x14ac:dyDescent="0.25">
      <c r="A3" s="24" t="str">
        <f>Cover!A3&amp;"-4a"</f>
        <v>2025 Home and Community Based Services (HCBS) - Exhibit A-4a</v>
      </c>
      <c r="B3" s="24"/>
      <c r="C3" s="24"/>
      <c r="D3" s="24"/>
      <c r="E3" s="24"/>
      <c r="F3" s="24"/>
      <c r="G3" s="24"/>
      <c r="H3" s="24"/>
      <c r="I3" s="24"/>
    </row>
    <row r="4" spans="1:12" x14ac:dyDescent="0.25">
      <c r="A4" t="s">
        <v>479</v>
      </c>
    </row>
    <row r="6" spans="1:12" x14ac:dyDescent="0.25">
      <c r="G6" s="71"/>
    </row>
    <row r="7" spans="1:12" s="5" customFormat="1" x14ac:dyDescent="0.25">
      <c r="B7"/>
      <c r="C7"/>
      <c r="D7"/>
      <c r="E7"/>
      <c r="F7"/>
      <c r="G7"/>
      <c r="H7"/>
      <c r="I7"/>
    </row>
    <row r="8" spans="1:12" s="8" customFormat="1" ht="30" customHeight="1" x14ac:dyDescent="0.25">
      <c r="A8" s="187"/>
      <c r="B8" s="162"/>
      <c r="C8" s="162"/>
      <c r="D8" s="162"/>
      <c r="E8" s="162"/>
      <c r="F8" s="162"/>
      <c r="G8" s="162"/>
      <c r="H8" s="39"/>
      <c r="I8" s="39"/>
    </row>
    <row r="9" spans="1:12" ht="45.75" thickBot="1" x14ac:dyDescent="0.3">
      <c r="A9" s="6" t="s">
        <v>364</v>
      </c>
      <c r="B9" s="6" t="s">
        <v>30</v>
      </c>
      <c r="C9" s="6" t="s">
        <v>371</v>
      </c>
      <c r="D9" s="6" t="s">
        <v>0</v>
      </c>
      <c r="E9" s="6" t="s">
        <v>373</v>
      </c>
      <c r="F9" s="6" t="s">
        <v>375</v>
      </c>
      <c r="G9" s="35" t="s">
        <v>478</v>
      </c>
      <c r="H9" s="6" t="s">
        <v>376</v>
      </c>
      <c r="I9" s="6" t="s">
        <v>377</v>
      </c>
    </row>
    <row r="10" spans="1:12" s="72" customFormat="1" x14ac:dyDescent="0.25">
      <c r="A10" s="43" t="s">
        <v>365</v>
      </c>
      <c r="B10" s="43" t="s">
        <v>188</v>
      </c>
      <c r="C10" s="36" t="s">
        <v>48</v>
      </c>
      <c r="D10" s="36" t="s">
        <v>470</v>
      </c>
      <c r="E10" s="36" t="s">
        <v>374</v>
      </c>
      <c r="F10" s="36">
        <f>_xlfn.XLOOKUP(B10,'A-3 Hourly Cost Calculation'!$B$7:$B$124,'A-3 Hourly Cost Calculation'!$Q$7:$Q$124,,0)</f>
        <v>25.907396168015232</v>
      </c>
      <c r="G10" s="36">
        <f>F10*0.25</f>
        <v>6.4768490420038081</v>
      </c>
      <c r="H10" s="61">
        <v>14914</v>
      </c>
      <c r="I10" s="60">
        <f>G10*H10</f>
        <v>96595.726612444792</v>
      </c>
      <c r="J10" s="118"/>
      <c r="K10" t="s">
        <v>48</v>
      </c>
      <c r="L10" s="151">
        <f t="shared" ref="L10:L21" si="0">AVERAGEIF($C$10:$C$123,K10,$G$10:$G$123)</f>
        <v>24.769357066192828</v>
      </c>
    </row>
    <row r="11" spans="1:12" s="72" customFormat="1" x14ac:dyDescent="0.25">
      <c r="A11" s="43" t="s">
        <v>365</v>
      </c>
      <c r="B11" s="43" t="s">
        <v>202</v>
      </c>
      <c r="C11" s="36" t="s">
        <v>48</v>
      </c>
      <c r="D11" s="36" t="s">
        <v>470</v>
      </c>
      <c r="E11" s="36" t="s">
        <v>374</v>
      </c>
      <c r="F11" s="36">
        <f>_xlfn.XLOOKUP(B11,'A-3 Hourly Cost Calculation'!$B$7:$B$124,'A-3 Hourly Cost Calculation'!$Q$7:$Q$124,,0)</f>
        <v>20.080260883286854</v>
      </c>
      <c r="G11" s="36">
        <f>F11*0.25</f>
        <v>5.0200652208217136</v>
      </c>
      <c r="H11" s="61">
        <v>144</v>
      </c>
      <c r="I11" s="60">
        <f>G11*H11</f>
        <v>722.88939179832676</v>
      </c>
      <c r="J11" s="118"/>
      <c r="K11" s="72" t="s">
        <v>49</v>
      </c>
      <c r="L11" s="151">
        <f t="shared" si="0"/>
        <v>7.2779414306322421</v>
      </c>
    </row>
    <row r="12" spans="1:12" x14ac:dyDescent="0.25">
      <c r="A12" s="43" t="s">
        <v>365</v>
      </c>
      <c r="B12" s="38" t="s">
        <v>82</v>
      </c>
      <c r="C12" s="32" t="s">
        <v>48</v>
      </c>
      <c r="D12" s="32" t="s">
        <v>470</v>
      </c>
      <c r="E12" s="36" t="s">
        <v>374</v>
      </c>
      <c r="F12" s="36">
        <f>_xlfn.XLOOKUP(B12,'A-3 Hourly Cost Calculation'!$B$7:$B$124,'A-3 Hourly Cost Calculation'!$Q$7:$Q$124,,0)</f>
        <v>21.581589874826445</v>
      </c>
      <c r="G12" s="36">
        <f>F12*0.25</f>
        <v>5.3953974687066113</v>
      </c>
      <c r="H12" s="61"/>
      <c r="I12" s="60"/>
      <c r="J12" s="118"/>
      <c r="K12" t="s">
        <v>53</v>
      </c>
      <c r="L12" s="151">
        <f t="shared" si="0"/>
        <v>7.9273973682735797</v>
      </c>
    </row>
    <row r="13" spans="1:12" x14ac:dyDescent="0.25">
      <c r="A13" s="43" t="s">
        <v>365</v>
      </c>
      <c r="B13" s="38" t="s">
        <v>97</v>
      </c>
      <c r="C13" s="32" t="s">
        <v>48</v>
      </c>
      <c r="D13" s="32" t="s">
        <v>470</v>
      </c>
      <c r="E13" s="36" t="s">
        <v>374</v>
      </c>
      <c r="F13" s="36">
        <f>_xlfn.XLOOKUP(B13,'A-3 Hourly Cost Calculation'!$B$7:$B$124,'A-3 Hourly Cost Calculation'!$Q$7:$Q$124,,0)</f>
        <v>22.281587610046223</v>
      </c>
      <c r="G13" s="36">
        <f>F13*0.25</f>
        <v>5.5703969025115558</v>
      </c>
      <c r="H13" s="61"/>
      <c r="I13" s="60"/>
      <c r="J13" s="118"/>
      <c r="K13" t="s">
        <v>54</v>
      </c>
      <c r="L13" s="151">
        <f t="shared" si="0"/>
        <v>9.9950050702732831</v>
      </c>
    </row>
    <row r="14" spans="1:12" x14ac:dyDescent="0.25">
      <c r="A14" s="43" t="s">
        <v>460</v>
      </c>
      <c r="B14" s="38" t="s">
        <v>425</v>
      </c>
      <c r="C14" s="32" t="s">
        <v>48</v>
      </c>
      <c r="D14" s="32" t="s">
        <v>470</v>
      </c>
      <c r="E14" s="36" t="s">
        <v>374</v>
      </c>
      <c r="F14" s="127"/>
      <c r="G14" s="36">
        <v>34.928015558245839</v>
      </c>
      <c r="H14" s="127"/>
      <c r="I14" s="127"/>
      <c r="J14" s="118"/>
      <c r="K14" t="s">
        <v>55</v>
      </c>
      <c r="L14" s="151">
        <f t="shared" si="0"/>
        <v>8.720728457669825</v>
      </c>
    </row>
    <row r="15" spans="1:12" x14ac:dyDescent="0.25">
      <c r="A15" s="43" t="s">
        <v>460</v>
      </c>
      <c r="B15" s="38" t="s">
        <v>426</v>
      </c>
      <c r="C15" s="32" t="s">
        <v>48</v>
      </c>
      <c r="D15" s="32" t="s">
        <v>470</v>
      </c>
      <c r="E15" s="36" t="s">
        <v>374</v>
      </c>
      <c r="F15" s="127"/>
      <c r="G15" s="36">
        <v>31.226342435573816</v>
      </c>
      <c r="H15" s="127"/>
      <c r="I15" s="127"/>
      <c r="J15" s="118"/>
      <c r="K15" t="s">
        <v>56</v>
      </c>
      <c r="L15" s="151">
        <f t="shared" si="0"/>
        <v>8.2752723284593017</v>
      </c>
    </row>
    <row r="16" spans="1:12" x14ac:dyDescent="0.25">
      <c r="A16" s="43" t="s">
        <v>460</v>
      </c>
      <c r="B16" s="38" t="s">
        <v>158</v>
      </c>
      <c r="C16" s="32" t="s">
        <v>48</v>
      </c>
      <c r="D16" s="32" t="s">
        <v>470</v>
      </c>
      <c r="E16" s="36" t="s">
        <v>374</v>
      </c>
      <c r="F16" s="127"/>
      <c r="G16" s="36">
        <v>46.694355074857995</v>
      </c>
      <c r="H16" s="127"/>
      <c r="I16" s="127"/>
      <c r="J16" s="118"/>
      <c r="K16" t="s">
        <v>58</v>
      </c>
      <c r="L16" s="151">
        <f t="shared" si="0"/>
        <v>37.071833963311512</v>
      </c>
    </row>
    <row r="17" spans="1:12" x14ac:dyDescent="0.25">
      <c r="A17" s="43" t="s">
        <v>460</v>
      </c>
      <c r="B17" s="38" t="s">
        <v>163</v>
      </c>
      <c r="C17" s="32" t="s">
        <v>48</v>
      </c>
      <c r="D17" s="32" t="s">
        <v>470</v>
      </c>
      <c r="E17" s="36" t="s">
        <v>374</v>
      </c>
      <c r="F17" s="127"/>
      <c r="G17" s="36">
        <v>62.843434826821301</v>
      </c>
      <c r="H17" s="127"/>
      <c r="I17" s="127"/>
      <c r="J17" s="118"/>
      <c r="K17" t="s">
        <v>59</v>
      </c>
      <c r="L17" s="151">
        <f t="shared" si="0"/>
        <v>16.896347526270073</v>
      </c>
    </row>
    <row r="18" spans="1:12" x14ac:dyDescent="0.25">
      <c r="A18" s="43" t="s">
        <v>365</v>
      </c>
      <c r="B18" s="38" t="s">
        <v>76</v>
      </c>
      <c r="C18" s="32" t="s">
        <v>49</v>
      </c>
      <c r="D18" s="32" t="s">
        <v>71</v>
      </c>
      <c r="E18" s="36" t="s">
        <v>374</v>
      </c>
      <c r="F18" s="36">
        <f>_xlfn.XLOOKUP(B18,'A-3 Hourly Cost Calculation'!$B$7:$B$124,'A-3 Hourly Cost Calculation'!$Q$7:$Q$124,,0)</f>
        <v>40.14115265163403</v>
      </c>
      <c r="G18" s="36">
        <f t="shared" ref="G18:G38" si="1">F18*0.25</f>
        <v>10.035288162908508</v>
      </c>
      <c r="H18" s="61">
        <v>166</v>
      </c>
      <c r="I18" s="60">
        <f t="shared" ref="I18:I38" si="2">G18*H18</f>
        <v>1665.8578350428122</v>
      </c>
      <c r="J18" s="118"/>
      <c r="K18" t="s">
        <v>60</v>
      </c>
      <c r="L18" s="151">
        <f t="shared" si="0"/>
        <v>20.639759700806138</v>
      </c>
    </row>
    <row r="19" spans="1:12" x14ac:dyDescent="0.25">
      <c r="A19" s="43" t="s">
        <v>365</v>
      </c>
      <c r="B19" s="38" t="s">
        <v>204</v>
      </c>
      <c r="C19" s="32" t="s">
        <v>49</v>
      </c>
      <c r="D19" s="32" t="s">
        <v>71</v>
      </c>
      <c r="E19" s="36" t="s">
        <v>374</v>
      </c>
      <c r="F19" s="36">
        <f>_xlfn.XLOOKUP(B19,'A-3 Hourly Cost Calculation'!$B$7:$B$124,'A-3 Hourly Cost Calculation'!$Q$7:$Q$124,,0)</f>
        <v>22.355036844162044</v>
      </c>
      <c r="G19" s="36">
        <f t="shared" si="1"/>
        <v>5.5887592110405109</v>
      </c>
      <c r="H19" s="61">
        <v>18</v>
      </c>
      <c r="I19" s="60">
        <f t="shared" si="2"/>
        <v>100.5976657987292</v>
      </c>
      <c r="J19" s="118"/>
      <c r="K19" t="s">
        <v>61</v>
      </c>
      <c r="L19" s="151">
        <f t="shared" si="0"/>
        <v>14.583030316908728</v>
      </c>
    </row>
    <row r="20" spans="1:12" x14ac:dyDescent="0.25">
      <c r="A20" s="43" t="s">
        <v>365</v>
      </c>
      <c r="B20" s="38" t="s">
        <v>99</v>
      </c>
      <c r="C20" s="32" t="s">
        <v>49</v>
      </c>
      <c r="D20" s="32" t="s">
        <v>71</v>
      </c>
      <c r="E20" s="36" t="s">
        <v>374</v>
      </c>
      <c r="F20" s="36">
        <f>_xlfn.XLOOKUP(B20,'A-3 Hourly Cost Calculation'!$B$7:$B$124,'A-3 Hourly Cost Calculation'!$Q$7:$Q$124,,0)</f>
        <v>29.874174502651144</v>
      </c>
      <c r="G20" s="36">
        <f t="shared" si="1"/>
        <v>7.468543625662786</v>
      </c>
      <c r="H20" s="61">
        <v>72</v>
      </c>
      <c r="I20" s="60">
        <f t="shared" si="2"/>
        <v>537.73514104772062</v>
      </c>
      <c r="J20" s="118"/>
      <c r="K20" t="s">
        <v>63</v>
      </c>
      <c r="L20" s="151">
        <f t="shared" si="0"/>
        <v>24.466771603472854</v>
      </c>
    </row>
    <row r="21" spans="1:12" x14ac:dyDescent="0.25">
      <c r="A21" s="43" t="s">
        <v>365</v>
      </c>
      <c r="B21" s="38" t="s">
        <v>105</v>
      </c>
      <c r="C21" s="32" t="s">
        <v>49</v>
      </c>
      <c r="D21" s="32" t="s">
        <v>71</v>
      </c>
      <c r="E21" s="36" t="s">
        <v>374</v>
      </c>
      <c r="F21" s="36">
        <f>_xlfn.XLOOKUP(B21,'A-3 Hourly Cost Calculation'!$B$7:$B$124,'A-3 Hourly Cost Calculation'!$Q$7:$Q$124,,0)</f>
        <v>8.6208823774139276</v>
      </c>
      <c r="G21" s="36">
        <f t="shared" si="1"/>
        <v>2.1552205943534819</v>
      </c>
      <c r="H21" s="61">
        <v>170</v>
      </c>
      <c r="I21" s="60">
        <f t="shared" si="2"/>
        <v>366.38750104009193</v>
      </c>
      <c r="J21" s="118"/>
      <c r="K21" t="s">
        <v>66</v>
      </c>
      <c r="L21" s="151">
        <f t="shared" si="0"/>
        <v>28.73715519845334</v>
      </c>
    </row>
    <row r="22" spans="1:12" s="2" customFormat="1" x14ac:dyDescent="0.25">
      <c r="A22" s="43" t="s">
        <v>365</v>
      </c>
      <c r="B22" s="38" t="s">
        <v>106</v>
      </c>
      <c r="C22" s="32" t="s">
        <v>49</v>
      </c>
      <c r="D22" s="32" t="s">
        <v>71</v>
      </c>
      <c r="E22" s="36" t="s">
        <v>374</v>
      </c>
      <c r="F22" s="36">
        <f>_xlfn.XLOOKUP(B22,'A-3 Hourly Cost Calculation'!$B$7:$B$124,'A-3 Hourly Cost Calculation'!$Q$7:$Q$124,,0)</f>
        <v>34.429743030096361</v>
      </c>
      <c r="G22" s="36">
        <f t="shared" si="1"/>
        <v>8.6074357575240903</v>
      </c>
      <c r="H22" s="61">
        <v>624</v>
      </c>
      <c r="I22" s="60">
        <f t="shared" si="2"/>
        <v>5371.0399126950324</v>
      </c>
      <c r="J22" s="118"/>
      <c r="K22"/>
      <c r="L22" s="151"/>
    </row>
    <row r="23" spans="1:12" x14ac:dyDescent="0.25">
      <c r="A23" s="43" t="s">
        <v>365</v>
      </c>
      <c r="B23" s="38" t="s">
        <v>115</v>
      </c>
      <c r="C23" s="32" t="s">
        <v>49</v>
      </c>
      <c r="D23" s="32" t="s">
        <v>71</v>
      </c>
      <c r="E23" s="36" t="s">
        <v>374</v>
      </c>
      <c r="F23" s="36">
        <f>_xlfn.XLOOKUP(B23,'A-3 Hourly Cost Calculation'!$B$7:$B$124,'A-3 Hourly Cost Calculation'!$Q$7:$Q$124,,0)</f>
        <v>45.60761170241733</v>
      </c>
      <c r="G23" s="36">
        <f t="shared" si="1"/>
        <v>11.401902925604332</v>
      </c>
      <c r="H23" s="61">
        <v>242</v>
      </c>
      <c r="I23" s="60">
        <f t="shared" si="2"/>
        <v>2759.2605079962486</v>
      </c>
      <c r="J23" s="118"/>
    </row>
    <row r="24" spans="1:12" x14ac:dyDescent="0.25">
      <c r="A24" s="43" t="s">
        <v>365</v>
      </c>
      <c r="B24" s="38" t="s">
        <v>118</v>
      </c>
      <c r="C24" s="32" t="s">
        <v>49</v>
      </c>
      <c r="D24" s="32" t="s">
        <v>71</v>
      </c>
      <c r="E24" s="36" t="s">
        <v>374</v>
      </c>
      <c r="F24" s="36">
        <f>_xlfn.XLOOKUP(B24,'A-3 Hourly Cost Calculation'!$B$7:$B$124,'A-3 Hourly Cost Calculation'!$Q$7:$Q$124,,0)</f>
        <v>40.302246113461095</v>
      </c>
      <c r="G24" s="36">
        <f t="shared" si="1"/>
        <v>10.075561528365274</v>
      </c>
      <c r="H24" s="61">
        <v>306</v>
      </c>
      <c r="I24" s="60">
        <f t="shared" si="2"/>
        <v>3083.1218276797736</v>
      </c>
      <c r="J24" s="118"/>
    </row>
    <row r="25" spans="1:12" x14ac:dyDescent="0.25">
      <c r="A25" s="43" t="s">
        <v>365</v>
      </c>
      <c r="B25" s="38" t="s">
        <v>140</v>
      </c>
      <c r="C25" s="32" t="s">
        <v>49</v>
      </c>
      <c r="D25" s="32" t="s">
        <v>71</v>
      </c>
      <c r="E25" s="36" t="s">
        <v>374</v>
      </c>
      <c r="F25" s="36">
        <f>_xlfn.XLOOKUP(B25,'A-3 Hourly Cost Calculation'!$B$7:$B$124,'A-3 Hourly Cost Calculation'!$Q$7:$Q$124,,0)</f>
        <v>25.814539114568692</v>
      </c>
      <c r="G25" s="36">
        <f t="shared" si="1"/>
        <v>6.4536347786421731</v>
      </c>
      <c r="H25" s="61">
        <v>204</v>
      </c>
      <c r="I25" s="60">
        <f t="shared" si="2"/>
        <v>1316.5414948430032</v>
      </c>
      <c r="J25" s="118"/>
    </row>
    <row r="26" spans="1:12" x14ac:dyDescent="0.25">
      <c r="A26" s="43" t="s">
        <v>365</v>
      </c>
      <c r="B26" s="38" t="s">
        <v>155</v>
      </c>
      <c r="C26" s="32" t="s">
        <v>49</v>
      </c>
      <c r="D26" s="32" t="s">
        <v>71</v>
      </c>
      <c r="E26" s="36" t="s">
        <v>374</v>
      </c>
      <c r="F26" s="36">
        <f>_xlfn.XLOOKUP(B26,'A-3 Hourly Cost Calculation'!$B$7:$B$124,'A-3 Hourly Cost Calculation'!$Q$7:$Q$124,,0)</f>
        <v>32.387199807715007</v>
      </c>
      <c r="G26" s="36">
        <f t="shared" si="1"/>
        <v>8.0967999519287517</v>
      </c>
      <c r="H26" s="61">
        <v>72</v>
      </c>
      <c r="I26" s="60">
        <f t="shared" si="2"/>
        <v>582.96959653887006</v>
      </c>
      <c r="J26" s="118"/>
    </row>
    <row r="27" spans="1:12" x14ac:dyDescent="0.25">
      <c r="A27" s="43" t="s">
        <v>365</v>
      </c>
      <c r="B27" s="38" t="s">
        <v>161</v>
      </c>
      <c r="C27" s="32" t="s">
        <v>49</v>
      </c>
      <c r="D27" s="32" t="s">
        <v>71</v>
      </c>
      <c r="E27" s="36" t="s">
        <v>374</v>
      </c>
      <c r="F27" s="36">
        <f>_xlfn.XLOOKUP(B27,'A-3 Hourly Cost Calculation'!$B$7:$B$124,'A-3 Hourly Cost Calculation'!$Q$7:$Q$124,,0)</f>
        <v>29.358400899219404</v>
      </c>
      <c r="G27" s="36">
        <f t="shared" si="1"/>
        <v>7.3396002248048511</v>
      </c>
      <c r="H27" s="61">
        <v>203</v>
      </c>
      <c r="I27" s="60">
        <f t="shared" si="2"/>
        <v>1489.9388456353847</v>
      </c>
      <c r="J27" s="118"/>
    </row>
    <row r="28" spans="1:12" x14ac:dyDescent="0.25">
      <c r="A28" s="43" t="s">
        <v>365</v>
      </c>
      <c r="B28" s="38" t="s">
        <v>166</v>
      </c>
      <c r="C28" s="32" t="s">
        <v>49</v>
      </c>
      <c r="D28" s="32" t="s">
        <v>71</v>
      </c>
      <c r="E28" s="36" t="s">
        <v>374</v>
      </c>
      <c r="F28" s="36">
        <f>_xlfn.XLOOKUP(B28,'A-3 Hourly Cost Calculation'!$B$7:$B$124,'A-3 Hourly Cost Calculation'!$Q$7:$Q$124,,0)</f>
        <v>25.986928548075426</v>
      </c>
      <c r="G28" s="36">
        <f t="shared" si="1"/>
        <v>6.4967321370188564</v>
      </c>
      <c r="H28" s="61">
        <v>1970</v>
      </c>
      <c r="I28" s="60">
        <f t="shared" si="2"/>
        <v>12798.562309927147</v>
      </c>
      <c r="J28" s="118"/>
    </row>
    <row r="29" spans="1:12" x14ac:dyDescent="0.25">
      <c r="A29" s="43" t="s">
        <v>365</v>
      </c>
      <c r="B29" s="38" t="s">
        <v>167</v>
      </c>
      <c r="C29" s="32" t="s">
        <v>49</v>
      </c>
      <c r="D29" s="32" t="s">
        <v>71</v>
      </c>
      <c r="E29" s="36" t="s">
        <v>374</v>
      </c>
      <c r="F29" s="36">
        <f>_xlfn.XLOOKUP(B29,'A-3 Hourly Cost Calculation'!$B$7:$B$124,'A-3 Hourly Cost Calculation'!$Q$7:$Q$124,,0)</f>
        <v>28.163107963954918</v>
      </c>
      <c r="G29" s="36">
        <f t="shared" si="1"/>
        <v>7.0407769909887294</v>
      </c>
      <c r="H29" s="61">
        <v>44</v>
      </c>
      <c r="I29" s="60">
        <f t="shared" si="2"/>
        <v>309.7941876035041</v>
      </c>
      <c r="J29" s="118"/>
    </row>
    <row r="30" spans="1:12" x14ac:dyDescent="0.25">
      <c r="A30" s="43" t="s">
        <v>365</v>
      </c>
      <c r="B30" s="38" t="s">
        <v>176</v>
      </c>
      <c r="C30" s="32" t="s">
        <v>49</v>
      </c>
      <c r="D30" s="32" t="s">
        <v>71</v>
      </c>
      <c r="E30" s="36" t="s">
        <v>374</v>
      </c>
      <c r="F30" s="36">
        <f>_xlfn.XLOOKUP(B30,'A-3 Hourly Cost Calculation'!$B$7:$B$124,'A-3 Hourly Cost Calculation'!$Q$7:$Q$124,,0)</f>
        <v>20.468597780361836</v>
      </c>
      <c r="G30" s="36">
        <f t="shared" si="1"/>
        <v>5.1171494450904591</v>
      </c>
      <c r="H30" s="61">
        <v>381</v>
      </c>
      <c r="I30" s="60">
        <f t="shared" si="2"/>
        <v>1949.6339385794649</v>
      </c>
      <c r="J30" s="118"/>
    </row>
    <row r="31" spans="1:12" x14ac:dyDescent="0.25">
      <c r="A31" s="43" t="s">
        <v>365</v>
      </c>
      <c r="B31" s="38" t="s">
        <v>183</v>
      </c>
      <c r="C31" s="32" t="s">
        <v>49</v>
      </c>
      <c r="D31" s="32" t="s">
        <v>71</v>
      </c>
      <c r="E31" s="36" t="s">
        <v>374</v>
      </c>
      <c r="F31" s="36">
        <f>_xlfn.XLOOKUP(B31,'A-3 Hourly Cost Calculation'!$B$7:$B$124,'A-3 Hourly Cost Calculation'!$Q$7:$Q$124,,0)</f>
        <v>28.176418447076099</v>
      </c>
      <c r="G31" s="36">
        <f t="shared" si="1"/>
        <v>7.0441046117690247</v>
      </c>
      <c r="H31" s="61">
        <v>1244</v>
      </c>
      <c r="I31" s="60">
        <f t="shared" si="2"/>
        <v>8762.8661370406662</v>
      </c>
      <c r="J31" s="118"/>
    </row>
    <row r="32" spans="1:12" x14ac:dyDescent="0.25">
      <c r="A32" s="43" t="s">
        <v>365</v>
      </c>
      <c r="B32" s="38" t="s">
        <v>184</v>
      </c>
      <c r="C32" s="32" t="s">
        <v>49</v>
      </c>
      <c r="D32" s="32" t="s">
        <v>71</v>
      </c>
      <c r="E32" s="36" t="s">
        <v>374</v>
      </c>
      <c r="F32" s="36">
        <f>_xlfn.XLOOKUP(B32,'A-3 Hourly Cost Calculation'!$B$7:$B$124,'A-3 Hourly Cost Calculation'!$Q$7:$Q$124,,0)</f>
        <v>21.513944820607065</v>
      </c>
      <c r="G32" s="36">
        <f t="shared" si="1"/>
        <v>5.3784862051517663</v>
      </c>
      <c r="H32" s="61">
        <v>44</v>
      </c>
      <c r="I32" s="60">
        <f t="shared" si="2"/>
        <v>236.65339302667772</v>
      </c>
      <c r="J32" s="118"/>
    </row>
    <row r="33" spans="1:10" x14ac:dyDescent="0.25">
      <c r="A33" s="43" t="s">
        <v>365</v>
      </c>
      <c r="B33" s="38" t="s">
        <v>188</v>
      </c>
      <c r="C33" s="32" t="s">
        <v>49</v>
      </c>
      <c r="D33" s="32" t="s">
        <v>71</v>
      </c>
      <c r="E33" s="36" t="s">
        <v>374</v>
      </c>
      <c r="F33" s="36">
        <f>_xlfn.XLOOKUP(B33,'A-3 Hourly Cost Calculation'!$B$7:$B$124,'A-3 Hourly Cost Calculation'!$Q$7:$Q$124,,0)</f>
        <v>25.907396168015232</v>
      </c>
      <c r="G33" s="36">
        <f t="shared" si="1"/>
        <v>6.4768490420038081</v>
      </c>
      <c r="H33" s="61">
        <v>3918</v>
      </c>
      <c r="I33" s="60">
        <f t="shared" si="2"/>
        <v>25376.29454657092</v>
      </c>
      <c r="J33" s="118"/>
    </row>
    <row r="34" spans="1:10" x14ac:dyDescent="0.25">
      <c r="A34" s="43" t="s">
        <v>365</v>
      </c>
      <c r="B34" s="38" t="s">
        <v>191</v>
      </c>
      <c r="C34" s="32" t="s">
        <v>49</v>
      </c>
      <c r="D34" s="32" t="s">
        <v>71</v>
      </c>
      <c r="E34" s="36" t="s">
        <v>374</v>
      </c>
      <c r="F34" s="36">
        <f>_xlfn.XLOOKUP(B34,'A-3 Hourly Cost Calculation'!$B$7:$B$124,'A-3 Hourly Cost Calculation'!$Q$7:$Q$124,,0)</f>
        <v>40.060538592573423</v>
      </c>
      <c r="G34" s="36">
        <f t="shared" si="1"/>
        <v>10.015134648143356</v>
      </c>
      <c r="H34" s="61">
        <v>603</v>
      </c>
      <c r="I34" s="60">
        <f t="shared" si="2"/>
        <v>6039.1261928304439</v>
      </c>
      <c r="J34" s="118"/>
    </row>
    <row r="35" spans="1:10" x14ac:dyDescent="0.25">
      <c r="A35" s="43" t="s">
        <v>365</v>
      </c>
      <c r="B35" s="38" t="s">
        <v>197</v>
      </c>
      <c r="C35" s="32" t="s">
        <v>49</v>
      </c>
      <c r="D35" s="32" t="s">
        <v>71</v>
      </c>
      <c r="E35" s="36" t="s">
        <v>374</v>
      </c>
      <c r="F35" s="36">
        <f>_xlfn.XLOOKUP(B35,'A-3 Hourly Cost Calculation'!$B$7:$B$124,'A-3 Hourly Cost Calculation'!$Q$7:$Q$124,,0)</f>
        <v>20.24149206634802</v>
      </c>
      <c r="G35" s="36">
        <f t="shared" si="1"/>
        <v>5.0603730165870049</v>
      </c>
      <c r="H35" s="61">
        <v>96</v>
      </c>
      <c r="I35" s="60">
        <f t="shared" si="2"/>
        <v>485.7958095923525</v>
      </c>
      <c r="J35" s="118"/>
    </row>
    <row r="36" spans="1:10" x14ac:dyDescent="0.25">
      <c r="A36" s="43" t="s">
        <v>365</v>
      </c>
      <c r="B36" s="38" t="s">
        <v>199</v>
      </c>
      <c r="C36" s="32" t="s">
        <v>49</v>
      </c>
      <c r="D36" s="32" t="s">
        <v>71</v>
      </c>
      <c r="E36" s="36" t="s">
        <v>374</v>
      </c>
      <c r="F36" s="36">
        <f>_xlfn.XLOOKUP(B36,'A-3 Hourly Cost Calculation'!$B$7:$B$124,'A-3 Hourly Cost Calculation'!$Q$7:$Q$124,,0)</f>
        <v>44.557285450552214</v>
      </c>
      <c r="G36" s="36">
        <f t="shared" si="1"/>
        <v>11.139321362638054</v>
      </c>
      <c r="H36" s="61">
        <v>177511.6</v>
      </c>
      <c r="I36" s="60">
        <f t="shared" si="2"/>
        <v>1977358.7579960611</v>
      </c>
      <c r="J36" s="118"/>
    </row>
    <row r="37" spans="1:10" x14ac:dyDescent="0.25">
      <c r="A37" s="43" t="s">
        <v>365</v>
      </c>
      <c r="B37" s="38" t="s">
        <v>202</v>
      </c>
      <c r="C37" s="32" t="s">
        <v>49</v>
      </c>
      <c r="D37" s="32" t="s">
        <v>71</v>
      </c>
      <c r="E37" s="36" t="s">
        <v>374</v>
      </c>
      <c r="F37" s="36">
        <f>_xlfn.XLOOKUP(B37,'A-3 Hourly Cost Calculation'!$B$7:$B$124,'A-3 Hourly Cost Calculation'!$Q$7:$Q$124,,0)</f>
        <v>20.080260883286854</v>
      </c>
      <c r="G37" s="36">
        <f t="shared" si="1"/>
        <v>5.0200652208217136</v>
      </c>
      <c r="H37" s="61">
        <v>222</v>
      </c>
      <c r="I37" s="60">
        <f t="shared" si="2"/>
        <v>1114.4544790224204</v>
      </c>
      <c r="J37" s="118"/>
    </row>
    <row r="38" spans="1:10" x14ac:dyDescent="0.25">
      <c r="A38" s="43" t="s">
        <v>365</v>
      </c>
      <c r="B38" s="38" t="s">
        <v>206</v>
      </c>
      <c r="C38" s="32" t="s">
        <v>49</v>
      </c>
      <c r="D38" s="32" t="s">
        <v>71</v>
      </c>
      <c r="E38" s="36" t="s">
        <v>374</v>
      </c>
      <c r="F38" s="36">
        <f>_xlfn.XLOOKUP(B38,'A-3 Hourly Cost Calculation'!$B$7:$B$124,'A-3 Hourly Cost Calculation'!$Q$7:$Q$124,,0)</f>
        <v>43.331888131447094</v>
      </c>
      <c r="G38" s="36">
        <f t="shared" si="1"/>
        <v>10.832972032861774</v>
      </c>
      <c r="H38" s="61">
        <v>107309</v>
      </c>
      <c r="I38" s="60">
        <f t="shared" si="2"/>
        <v>1162475.3958743641</v>
      </c>
      <c r="J38" s="118"/>
    </row>
    <row r="39" spans="1:10" x14ac:dyDescent="0.25">
      <c r="A39" s="43" t="s">
        <v>460</v>
      </c>
      <c r="B39" s="38" t="s">
        <v>83</v>
      </c>
      <c r="C39" s="32" t="s">
        <v>49</v>
      </c>
      <c r="D39" s="32" t="s">
        <v>71</v>
      </c>
      <c r="E39" s="36" t="s">
        <v>374</v>
      </c>
      <c r="F39" s="127"/>
      <c r="G39" s="36">
        <v>3.27</v>
      </c>
      <c r="H39" s="127"/>
      <c r="I39" s="127"/>
      <c r="J39" s="118"/>
    </row>
    <row r="40" spans="1:10" x14ac:dyDescent="0.25">
      <c r="A40" s="43" t="s">
        <v>365</v>
      </c>
      <c r="B40" s="38" t="s">
        <v>113</v>
      </c>
      <c r="C40" s="32" t="s">
        <v>53</v>
      </c>
      <c r="D40" s="32" t="s">
        <v>468</v>
      </c>
      <c r="E40" s="36" t="s">
        <v>374</v>
      </c>
      <c r="F40" s="36">
        <f>_xlfn.XLOOKUP(B40,'A-3 Hourly Cost Calculation'!$B$7:$B$124,'A-3 Hourly Cost Calculation'!$Q$7:$Q$124,,0)</f>
        <v>42.366041392672628</v>
      </c>
      <c r="G40" s="36">
        <f t="shared" ref="G40:G45" si="3">F40*0.25</f>
        <v>10.591510348168157</v>
      </c>
      <c r="H40" s="61">
        <v>1909</v>
      </c>
      <c r="I40" s="60">
        <f t="shared" ref="I40:I45" si="4">G40*H40</f>
        <v>20219.193254653012</v>
      </c>
      <c r="J40" s="118"/>
    </row>
    <row r="41" spans="1:10" x14ac:dyDescent="0.25">
      <c r="A41" s="43" t="s">
        <v>365</v>
      </c>
      <c r="B41" s="38" t="s">
        <v>125</v>
      </c>
      <c r="C41" s="32" t="s">
        <v>53</v>
      </c>
      <c r="D41" s="32" t="s">
        <v>468</v>
      </c>
      <c r="E41" s="36" t="s">
        <v>374</v>
      </c>
      <c r="F41" s="36">
        <f>_xlfn.XLOOKUP(B41,'A-3 Hourly Cost Calculation'!$B$7:$B$124,'A-3 Hourly Cost Calculation'!$Q$7:$Q$124,,0)</f>
        <v>33.630336303363038</v>
      </c>
      <c r="G41" s="36">
        <f t="shared" si="3"/>
        <v>8.4075840758407594</v>
      </c>
      <c r="H41" s="61">
        <v>100000</v>
      </c>
      <c r="I41" s="60">
        <f t="shared" si="4"/>
        <v>840758.40758407593</v>
      </c>
      <c r="J41" s="118"/>
    </row>
    <row r="42" spans="1:10" x14ac:dyDescent="0.25">
      <c r="A42" s="43" t="s">
        <v>365</v>
      </c>
      <c r="B42" s="38" t="s">
        <v>144</v>
      </c>
      <c r="C42" s="32" t="s">
        <v>53</v>
      </c>
      <c r="D42" s="32" t="s">
        <v>468</v>
      </c>
      <c r="E42" s="36" t="s">
        <v>374</v>
      </c>
      <c r="F42" s="36">
        <f>_xlfn.XLOOKUP(B42,'A-3 Hourly Cost Calculation'!$B$7:$B$124,'A-3 Hourly Cost Calculation'!$Q$7:$Q$124,,0)</f>
        <v>26.119561870254017</v>
      </c>
      <c r="G42" s="36">
        <f t="shared" si="3"/>
        <v>6.5298904675635043</v>
      </c>
      <c r="H42" s="61">
        <v>4347305</v>
      </c>
      <c r="I42" s="60">
        <f t="shared" si="4"/>
        <v>28387425.47909116</v>
      </c>
      <c r="J42" s="118"/>
    </row>
    <row r="43" spans="1:10" x14ac:dyDescent="0.25">
      <c r="A43" s="43" t="s">
        <v>365</v>
      </c>
      <c r="B43" s="38" t="s">
        <v>370</v>
      </c>
      <c r="C43" s="32" t="s">
        <v>53</v>
      </c>
      <c r="D43" s="32" t="s">
        <v>468</v>
      </c>
      <c r="E43" s="36" t="s">
        <v>374</v>
      </c>
      <c r="F43" s="36">
        <f>_xlfn.XLOOKUP(B43,'A-3 Hourly Cost Calculation'!$B$7:$B$124,'A-3 Hourly Cost Calculation'!$Q$7:$Q$124,,0)</f>
        <v>16.941253254244504</v>
      </c>
      <c r="G43" s="36">
        <f t="shared" si="3"/>
        <v>4.2353133135611261</v>
      </c>
      <c r="H43" s="61">
        <v>1004671</v>
      </c>
      <c r="I43" s="60">
        <f t="shared" si="4"/>
        <v>4255096.4620487699</v>
      </c>
      <c r="J43" s="118"/>
    </row>
    <row r="44" spans="1:10" x14ac:dyDescent="0.25">
      <c r="A44" s="43" t="s">
        <v>365</v>
      </c>
      <c r="B44" s="38" t="s">
        <v>171</v>
      </c>
      <c r="C44" s="32" t="s">
        <v>53</v>
      </c>
      <c r="D44" s="32" t="s">
        <v>468</v>
      </c>
      <c r="E44" s="36" t="s">
        <v>374</v>
      </c>
      <c r="F44" s="36">
        <f>_xlfn.XLOOKUP(B44,'A-3 Hourly Cost Calculation'!$B$7:$B$124,'A-3 Hourly Cost Calculation'!$Q$7:$Q$124,,0)</f>
        <v>30.89865606665661</v>
      </c>
      <c r="G44" s="36">
        <f t="shared" si="3"/>
        <v>7.7246640166641525</v>
      </c>
      <c r="H44" s="61">
        <v>73768</v>
      </c>
      <c r="I44" s="60">
        <f t="shared" si="4"/>
        <v>569833.01518128125</v>
      </c>
      <c r="J44" s="118"/>
    </row>
    <row r="45" spans="1:10" x14ac:dyDescent="0.25">
      <c r="A45" s="43" t="s">
        <v>365</v>
      </c>
      <c r="B45" s="38" t="s">
        <v>199</v>
      </c>
      <c r="C45" s="32" t="s">
        <v>53</v>
      </c>
      <c r="D45" s="32" t="s">
        <v>468</v>
      </c>
      <c r="E45" s="36" t="s">
        <v>374</v>
      </c>
      <c r="F45" s="36">
        <f>_xlfn.XLOOKUP(B45,'A-3 Hourly Cost Calculation'!$B$7:$B$124,'A-3 Hourly Cost Calculation'!$Q$7:$Q$124,,0)</f>
        <v>44.557285450552214</v>
      </c>
      <c r="G45" s="36">
        <f t="shared" si="3"/>
        <v>11.139321362638054</v>
      </c>
      <c r="H45" s="61">
        <v>7176.61</v>
      </c>
      <c r="I45" s="60">
        <f t="shared" si="4"/>
        <v>79942.565084321875</v>
      </c>
      <c r="J45" s="118"/>
    </row>
    <row r="46" spans="1:10" x14ac:dyDescent="0.25">
      <c r="A46" s="43" t="s">
        <v>460</v>
      </c>
      <c r="B46" s="38" t="s">
        <v>425</v>
      </c>
      <c r="C46" s="32" t="s">
        <v>53</v>
      </c>
      <c r="D46" s="32" t="s">
        <v>468</v>
      </c>
      <c r="E46" s="36" t="s">
        <v>374</v>
      </c>
      <c r="F46" s="127"/>
      <c r="G46" s="36">
        <v>8.7063137190249957</v>
      </c>
      <c r="H46" s="127"/>
      <c r="I46" s="127"/>
      <c r="J46" s="118"/>
    </row>
    <row r="47" spans="1:10" x14ac:dyDescent="0.25">
      <c r="A47" s="43" t="s">
        <v>460</v>
      </c>
      <c r="B47" s="38" t="s">
        <v>427</v>
      </c>
      <c r="C47" s="32" t="s">
        <v>53</v>
      </c>
      <c r="D47" s="32" t="s">
        <v>468</v>
      </c>
      <c r="E47" s="36" t="s">
        <v>374</v>
      </c>
      <c r="F47" s="127"/>
      <c r="G47" s="36">
        <v>6.0845816427278931</v>
      </c>
      <c r="H47" s="127"/>
      <c r="I47" s="127"/>
      <c r="J47" s="118"/>
    </row>
    <row r="48" spans="1:10" x14ac:dyDescent="0.25">
      <c r="A48" s="43" t="s">
        <v>365</v>
      </c>
      <c r="B48" s="38" t="s">
        <v>80</v>
      </c>
      <c r="C48" s="32" t="s">
        <v>54</v>
      </c>
      <c r="D48" s="32" t="s">
        <v>462</v>
      </c>
      <c r="E48" s="36" t="s">
        <v>374</v>
      </c>
      <c r="F48" s="36">
        <f>_xlfn.XLOOKUP(B48,'A-3 Hourly Cost Calculation'!$B$7:$B$124,'A-3 Hourly Cost Calculation'!$Q$7:$Q$124,,0)</f>
        <v>56.457982619614192</v>
      </c>
      <c r="G48" s="36">
        <f t="shared" ref="G48:G57" si="5">F48*0.25</f>
        <v>14.114495654903548</v>
      </c>
      <c r="H48" s="61">
        <v>2868</v>
      </c>
      <c r="I48" s="60">
        <f t="shared" ref="I48:I56" si="6">G48*H48</f>
        <v>40480.373538263375</v>
      </c>
      <c r="J48" s="118"/>
    </row>
    <row r="49" spans="1:10" x14ac:dyDescent="0.25">
      <c r="A49" s="43" t="s">
        <v>365</v>
      </c>
      <c r="B49" s="38" t="s">
        <v>113</v>
      </c>
      <c r="C49" s="32" t="s">
        <v>54</v>
      </c>
      <c r="D49" s="32" t="s">
        <v>462</v>
      </c>
      <c r="E49" s="36" t="s">
        <v>374</v>
      </c>
      <c r="F49" s="36">
        <f>_xlfn.XLOOKUP(B49,'A-3 Hourly Cost Calculation'!$B$7:$B$124,'A-3 Hourly Cost Calculation'!$Q$7:$Q$124,,0)</f>
        <v>42.366041392672628</v>
      </c>
      <c r="G49" s="36">
        <f t="shared" si="5"/>
        <v>10.591510348168157</v>
      </c>
      <c r="H49" s="61">
        <v>437</v>
      </c>
      <c r="I49" s="60">
        <f t="shared" si="6"/>
        <v>4628.4900221494845</v>
      </c>
      <c r="J49" s="118"/>
    </row>
    <row r="50" spans="1:10" x14ac:dyDescent="0.25">
      <c r="A50" s="43" t="s">
        <v>365</v>
      </c>
      <c r="B50" s="38" t="s">
        <v>114</v>
      </c>
      <c r="C50" s="32" t="s">
        <v>54</v>
      </c>
      <c r="D50" s="32" t="s">
        <v>462</v>
      </c>
      <c r="E50" s="36" t="s">
        <v>374</v>
      </c>
      <c r="F50" s="36">
        <f>_xlfn.XLOOKUP(B50,'A-3 Hourly Cost Calculation'!$B$7:$B$124,'A-3 Hourly Cost Calculation'!$Q$7:$Q$124,,0)</f>
        <v>117.79734584413018</v>
      </c>
      <c r="G50" s="36">
        <f t="shared" si="5"/>
        <v>29.449336461032544</v>
      </c>
      <c r="H50" s="61">
        <v>3596</v>
      </c>
      <c r="I50" s="60">
        <f t="shared" si="6"/>
        <v>105899.81391387303</v>
      </c>
      <c r="J50" s="118"/>
    </row>
    <row r="51" spans="1:10" x14ac:dyDescent="0.25">
      <c r="A51" s="43" t="s">
        <v>365</v>
      </c>
      <c r="B51" s="38" t="s">
        <v>118</v>
      </c>
      <c r="C51" s="32" t="s">
        <v>54</v>
      </c>
      <c r="D51" s="32" t="s">
        <v>462</v>
      </c>
      <c r="E51" s="36" t="s">
        <v>374</v>
      </c>
      <c r="F51" s="36">
        <f>_xlfn.XLOOKUP(B51,'A-3 Hourly Cost Calculation'!$B$7:$B$124,'A-3 Hourly Cost Calculation'!$Q$7:$Q$124,,0)</f>
        <v>40.302246113461095</v>
      </c>
      <c r="G51" s="36">
        <f t="shared" si="5"/>
        <v>10.075561528365274</v>
      </c>
      <c r="H51" s="61">
        <v>10644</v>
      </c>
      <c r="I51" s="60">
        <f t="shared" si="6"/>
        <v>107244.27690791998</v>
      </c>
      <c r="J51" s="118"/>
    </row>
    <row r="52" spans="1:10" x14ac:dyDescent="0.25">
      <c r="A52" s="43" t="s">
        <v>365</v>
      </c>
      <c r="B52" s="38" t="s">
        <v>125</v>
      </c>
      <c r="C52" s="32" t="s">
        <v>54</v>
      </c>
      <c r="D52" s="32" t="s">
        <v>462</v>
      </c>
      <c r="E52" s="36" t="s">
        <v>374</v>
      </c>
      <c r="F52" s="36">
        <f>_xlfn.XLOOKUP(B52,'A-3 Hourly Cost Calculation'!$B$7:$B$124,'A-3 Hourly Cost Calculation'!$Q$7:$Q$124,,0)</f>
        <v>33.630336303363038</v>
      </c>
      <c r="G52" s="36">
        <f t="shared" si="5"/>
        <v>8.4075840758407594</v>
      </c>
      <c r="H52" s="61">
        <v>15000</v>
      </c>
      <c r="I52" s="60">
        <f t="shared" si="6"/>
        <v>126113.76113761139</v>
      </c>
      <c r="J52" s="118"/>
    </row>
    <row r="53" spans="1:10" x14ac:dyDescent="0.25">
      <c r="A53" s="43" t="s">
        <v>365</v>
      </c>
      <c r="B53" s="38" t="s">
        <v>144</v>
      </c>
      <c r="C53" s="32" t="s">
        <v>54</v>
      </c>
      <c r="D53" s="32" t="s">
        <v>462</v>
      </c>
      <c r="E53" s="36" t="s">
        <v>374</v>
      </c>
      <c r="F53" s="36">
        <f>_xlfn.XLOOKUP(B53,'A-3 Hourly Cost Calculation'!$B$7:$B$124,'A-3 Hourly Cost Calculation'!$Q$7:$Q$124,,0)</f>
        <v>26.119561870254017</v>
      </c>
      <c r="G53" s="36">
        <f t="shared" si="5"/>
        <v>6.5298904675635043</v>
      </c>
      <c r="H53" s="61">
        <v>2078</v>
      </c>
      <c r="I53" s="60">
        <f t="shared" si="6"/>
        <v>13569.112391596962</v>
      </c>
      <c r="J53" s="118"/>
    </row>
    <row r="54" spans="1:10" x14ac:dyDescent="0.25">
      <c r="A54" s="43" t="s">
        <v>365</v>
      </c>
      <c r="B54" s="38" t="s">
        <v>370</v>
      </c>
      <c r="C54" s="32" t="s">
        <v>54</v>
      </c>
      <c r="D54" s="32" t="s">
        <v>462</v>
      </c>
      <c r="E54" s="36" t="s">
        <v>374</v>
      </c>
      <c r="F54" s="36">
        <f>_xlfn.XLOOKUP(B54,'A-3 Hourly Cost Calculation'!$B$7:$B$124,'A-3 Hourly Cost Calculation'!$Q$7:$Q$124,,0)</f>
        <v>16.941253254244504</v>
      </c>
      <c r="G54" s="36">
        <f t="shared" si="5"/>
        <v>4.2353133135611261</v>
      </c>
      <c r="H54" s="61">
        <v>18050</v>
      </c>
      <c r="I54" s="60">
        <f t="shared" si="6"/>
        <v>76447.405309778333</v>
      </c>
      <c r="J54" s="118"/>
    </row>
    <row r="55" spans="1:10" x14ac:dyDescent="0.25">
      <c r="A55" s="43" t="s">
        <v>365</v>
      </c>
      <c r="B55" s="38" t="s">
        <v>157</v>
      </c>
      <c r="C55" s="32" t="s">
        <v>54</v>
      </c>
      <c r="D55" s="32" t="s">
        <v>462</v>
      </c>
      <c r="E55" s="36" t="s">
        <v>374</v>
      </c>
      <c r="F55" s="36">
        <f>_xlfn.XLOOKUP(B55,'A-3 Hourly Cost Calculation'!$B$7:$B$124,'A-3 Hourly Cost Calculation'!$Q$7:$Q$124,,0)</f>
        <v>69.469469984809521</v>
      </c>
      <c r="G55" s="36">
        <f t="shared" si="5"/>
        <v>17.36736749620238</v>
      </c>
      <c r="H55" s="61">
        <v>3436</v>
      </c>
      <c r="I55" s="60">
        <f t="shared" si="6"/>
        <v>59674.274716951382</v>
      </c>
      <c r="J55" s="118"/>
    </row>
    <row r="56" spans="1:10" x14ac:dyDescent="0.25">
      <c r="A56" s="43" t="s">
        <v>365</v>
      </c>
      <c r="B56" s="38" t="s">
        <v>173</v>
      </c>
      <c r="C56" s="32" t="s">
        <v>54</v>
      </c>
      <c r="D56" s="32" t="s">
        <v>462</v>
      </c>
      <c r="E56" s="36" t="s">
        <v>374</v>
      </c>
      <c r="F56" s="36">
        <f>_xlfn.XLOOKUP(B56,'A-3 Hourly Cost Calculation'!$B$7:$B$124,'A-3 Hourly Cost Calculation'!$Q$7:$Q$124,,0)</f>
        <v>20</v>
      </c>
      <c r="G56" s="36">
        <f t="shared" si="5"/>
        <v>5</v>
      </c>
      <c r="H56" s="61">
        <v>306</v>
      </c>
      <c r="I56" s="60">
        <f t="shared" si="6"/>
        <v>1530</v>
      </c>
      <c r="J56" s="118"/>
    </row>
    <row r="57" spans="1:10" x14ac:dyDescent="0.25">
      <c r="A57" s="43" t="s">
        <v>365</v>
      </c>
      <c r="B57" s="38" t="s">
        <v>176</v>
      </c>
      <c r="C57" s="32" t="s">
        <v>54</v>
      </c>
      <c r="D57" s="32" t="s">
        <v>462</v>
      </c>
      <c r="E57" s="36" t="s">
        <v>374</v>
      </c>
      <c r="F57" s="36">
        <f>_xlfn.XLOOKUP(B57,'A-3 Hourly Cost Calculation'!$B$7:$B$124,'A-3 Hourly Cost Calculation'!$Q$7:$Q$124,,0)</f>
        <v>20.468597780361836</v>
      </c>
      <c r="G57" s="36">
        <f t="shared" si="5"/>
        <v>5.1171494450904591</v>
      </c>
      <c r="H57" s="61"/>
      <c r="I57" s="60"/>
      <c r="J57" s="118"/>
    </row>
    <row r="58" spans="1:10" x14ac:dyDescent="0.25">
      <c r="A58" s="43" t="s">
        <v>460</v>
      </c>
      <c r="B58" s="38" t="s">
        <v>425</v>
      </c>
      <c r="C58" s="32" t="s">
        <v>54</v>
      </c>
      <c r="D58" s="32" t="s">
        <v>462</v>
      </c>
      <c r="E58" s="36" t="s">
        <v>374</v>
      </c>
      <c r="F58" s="127"/>
      <c r="G58" s="36">
        <v>8.7716110124496911</v>
      </c>
      <c r="H58" s="127"/>
      <c r="I58" s="127"/>
      <c r="J58" s="118"/>
    </row>
    <row r="59" spans="1:10" x14ac:dyDescent="0.25">
      <c r="A59" s="43" t="s">
        <v>460</v>
      </c>
      <c r="B59" s="38" t="s">
        <v>428</v>
      </c>
      <c r="C59" s="32" t="s">
        <v>54</v>
      </c>
      <c r="D59" s="32" t="s">
        <v>462</v>
      </c>
      <c r="E59" s="36" t="s">
        <v>374</v>
      </c>
      <c r="F59" s="127"/>
      <c r="G59" s="36">
        <v>6.5514200561802767</v>
      </c>
      <c r="H59" s="127"/>
      <c r="I59" s="127"/>
      <c r="J59" s="118"/>
    </row>
    <row r="60" spans="1:10" x14ac:dyDescent="0.25">
      <c r="A60" s="43" t="s">
        <v>460</v>
      </c>
      <c r="B60" s="38" t="s">
        <v>427</v>
      </c>
      <c r="C60" s="32" t="s">
        <v>54</v>
      </c>
      <c r="D60" s="32" t="s">
        <v>462</v>
      </c>
      <c r="E60" s="36" t="s">
        <v>374</v>
      </c>
      <c r="F60" s="127"/>
      <c r="G60" s="36">
        <v>9.2122384967771769</v>
      </c>
      <c r="H60" s="127"/>
      <c r="I60" s="127"/>
      <c r="J60" s="118"/>
    </row>
    <row r="61" spans="1:10" x14ac:dyDescent="0.25">
      <c r="A61" s="43" t="s">
        <v>460</v>
      </c>
      <c r="B61" s="38" t="s">
        <v>429</v>
      </c>
      <c r="C61" s="32" t="s">
        <v>54</v>
      </c>
      <c r="D61" s="32" t="s">
        <v>462</v>
      </c>
      <c r="E61" s="36" t="s">
        <v>374</v>
      </c>
      <c r="F61" s="127"/>
      <c r="G61" s="36">
        <v>4.5065926276910879</v>
      </c>
      <c r="H61" s="127"/>
      <c r="I61" s="127"/>
      <c r="J61" s="118"/>
    </row>
    <row r="62" spans="1:10" x14ac:dyDescent="0.25">
      <c r="A62" s="43" t="s">
        <v>365</v>
      </c>
      <c r="B62" s="38" t="s">
        <v>80</v>
      </c>
      <c r="C62" s="32" t="s">
        <v>55</v>
      </c>
      <c r="D62" s="32" t="s">
        <v>463</v>
      </c>
      <c r="E62" s="36" t="s">
        <v>374</v>
      </c>
      <c r="F62" s="36">
        <f>_xlfn.XLOOKUP(B62,'A-3 Hourly Cost Calculation'!$B$7:$B$124,'A-3 Hourly Cost Calculation'!$Q$7:$Q$124,,0)</f>
        <v>56.457982619614192</v>
      </c>
      <c r="G62" s="36">
        <f>F62*0.25</f>
        <v>14.114495654903548</v>
      </c>
      <c r="H62" s="61">
        <v>3664</v>
      </c>
      <c r="I62" s="60">
        <f>G62*H62</f>
        <v>51715.512079566601</v>
      </c>
      <c r="J62" s="118"/>
    </row>
    <row r="63" spans="1:10" x14ac:dyDescent="0.25">
      <c r="A63" s="43" t="s">
        <v>365</v>
      </c>
      <c r="B63" s="38" t="s">
        <v>93</v>
      </c>
      <c r="C63" s="32" t="s">
        <v>55</v>
      </c>
      <c r="D63" s="32" t="s">
        <v>463</v>
      </c>
      <c r="E63" s="36" t="s">
        <v>374</v>
      </c>
      <c r="F63" s="36">
        <f>_xlfn.XLOOKUP(B63,'A-3 Hourly Cost Calculation'!$B$7:$B$124,'A-3 Hourly Cost Calculation'!$Q$7:$Q$124,,0)</f>
        <v>38.88504734343708</v>
      </c>
      <c r="G63" s="36">
        <f>F63*0.25</f>
        <v>9.72126183585927</v>
      </c>
      <c r="H63" s="61">
        <v>136170</v>
      </c>
      <c r="I63" s="60">
        <f>G63*H63</f>
        <v>1323744.2241889569</v>
      </c>
      <c r="J63" s="118"/>
    </row>
    <row r="64" spans="1:10" x14ac:dyDescent="0.25">
      <c r="A64" s="43" t="s">
        <v>365</v>
      </c>
      <c r="B64" s="38" t="s">
        <v>113</v>
      </c>
      <c r="C64" s="32" t="s">
        <v>55</v>
      </c>
      <c r="D64" s="32" t="s">
        <v>463</v>
      </c>
      <c r="E64" s="36" t="s">
        <v>374</v>
      </c>
      <c r="F64" s="36">
        <f>_xlfn.XLOOKUP(B64,'A-3 Hourly Cost Calculation'!$B$7:$B$124,'A-3 Hourly Cost Calculation'!$Q$7:$Q$124,,0)</f>
        <v>42.366041392672628</v>
      </c>
      <c r="G64" s="36">
        <f>F64*0.25</f>
        <v>10.591510348168157</v>
      </c>
      <c r="H64" s="61">
        <v>297</v>
      </c>
      <c r="I64" s="60">
        <f>G64*H64</f>
        <v>3145.6785734059426</v>
      </c>
      <c r="J64" s="118"/>
    </row>
    <row r="65" spans="1:10" x14ac:dyDescent="0.25">
      <c r="A65" s="43" t="s">
        <v>365</v>
      </c>
      <c r="B65" s="38" t="s">
        <v>125</v>
      </c>
      <c r="C65" s="32" t="s">
        <v>55</v>
      </c>
      <c r="D65" s="32" t="s">
        <v>463</v>
      </c>
      <c r="E65" s="36" t="s">
        <v>374</v>
      </c>
      <c r="F65" s="36">
        <f>_xlfn.XLOOKUP(B65,'A-3 Hourly Cost Calculation'!$B$7:$B$124,'A-3 Hourly Cost Calculation'!$Q$7:$Q$124,,0)</f>
        <v>33.630336303363038</v>
      </c>
      <c r="G65" s="36">
        <f>F65*0.25</f>
        <v>8.4075840758407594</v>
      </c>
      <c r="H65" s="61">
        <v>1500</v>
      </c>
      <c r="I65" s="60">
        <f>G65*H65</f>
        <v>12611.37611376114</v>
      </c>
      <c r="J65" s="118"/>
    </row>
    <row r="66" spans="1:10" x14ac:dyDescent="0.25">
      <c r="A66" s="43" t="s">
        <v>365</v>
      </c>
      <c r="B66" s="38" t="s">
        <v>176</v>
      </c>
      <c r="C66" s="32" t="s">
        <v>55</v>
      </c>
      <c r="D66" s="32" t="s">
        <v>463</v>
      </c>
      <c r="E66" s="36" t="s">
        <v>374</v>
      </c>
      <c r="F66" s="36">
        <f>_xlfn.XLOOKUP(B66,'A-3 Hourly Cost Calculation'!$B$7:$B$124,'A-3 Hourly Cost Calculation'!$Q$7:$Q$124,,0)</f>
        <v>20.468597780361836</v>
      </c>
      <c r="G66" s="36">
        <f>F66*0.25</f>
        <v>5.1171494450904591</v>
      </c>
      <c r="H66" s="61"/>
      <c r="I66" s="60"/>
      <c r="J66" s="118"/>
    </row>
    <row r="67" spans="1:10" x14ac:dyDescent="0.25">
      <c r="A67" s="43" t="s">
        <v>460</v>
      </c>
      <c r="B67" s="38" t="s">
        <v>429</v>
      </c>
      <c r="C67" s="32" t="s">
        <v>55</v>
      </c>
      <c r="D67" s="32" t="s">
        <v>463</v>
      </c>
      <c r="E67" s="36" t="s">
        <v>374</v>
      </c>
      <c r="F67" s="127"/>
      <c r="G67" s="36">
        <v>4.3723693861567527</v>
      </c>
      <c r="H67" s="127"/>
      <c r="I67" s="127"/>
      <c r="J67" s="118"/>
    </row>
    <row r="68" spans="1:10" x14ac:dyDescent="0.25">
      <c r="A68" s="43" t="s">
        <v>365</v>
      </c>
      <c r="B68" s="38" t="s">
        <v>80</v>
      </c>
      <c r="C68" s="32" t="s">
        <v>56</v>
      </c>
      <c r="D68" s="32" t="s">
        <v>464</v>
      </c>
      <c r="E68" s="36" t="s">
        <v>374</v>
      </c>
      <c r="F68" s="36">
        <f>_xlfn.XLOOKUP(B68,'A-3 Hourly Cost Calculation'!$B$7:$B$124,'A-3 Hourly Cost Calculation'!$Q$7:$Q$124,,0)</f>
        <v>56.457982619614192</v>
      </c>
      <c r="G68" s="36">
        <f t="shared" ref="G68:G83" si="7">F68*0.25</f>
        <v>14.114495654903548</v>
      </c>
      <c r="H68" s="61">
        <v>1012</v>
      </c>
      <c r="I68" s="60">
        <f t="shared" ref="I68:I81" si="8">G68*H68</f>
        <v>14283.86960276239</v>
      </c>
      <c r="J68" s="118"/>
    </row>
    <row r="69" spans="1:10" x14ac:dyDescent="0.25">
      <c r="A69" s="43" t="s">
        <v>365</v>
      </c>
      <c r="B69" s="38" t="s">
        <v>88</v>
      </c>
      <c r="C69" s="32" t="s">
        <v>56</v>
      </c>
      <c r="D69" s="32" t="s">
        <v>464</v>
      </c>
      <c r="E69" s="36" t="s">
        <v>374</v>
      </c>
      <c r="F69" s="36">
        <f>_xlfn.XLOOKUP(B69,'A-3 Hourly Cost Calculation'!$B$7:$B$124,'A-3 Hourly Cost Calculation'!$Q$7:$Q$124,,0)</f>
        <v>30.677165956015862</v>
      </c>
      <c r="G69" s="36">
        <f t="shared" si="7"/>
        <v>7.6692914890039656</v>
      </c>
      <c r="H69" s="61">
        <v>8320</v>
      </c>
      <c r="I69" s="60">
        <f t="shared" si="8"/>
        <v>63808.505188512994</v>
      </c>
      <c r="J69" s="118"/>
    </row>
    <row r="70" spans="1:10" x14ac:dyDescent="0.25">
      <c r="A70" s="43" t="s">
        <v>365</v>
      </c>
      <c r="B70" s="38" t="s">
        <v>113</v>
      </c>
      <c r="C70" s="32" t="s">
        <v>56</v>
      </c>
      <c r="D70" s="32" t="s">
        <v>464</v>
      </c>
      <c r="E70" s="36" t="s">
        <v>374</v>
      </c>
      <c r="F70" s="36">
        <f>_xlfn.XLOOKUP(B70,'A-3 Hourly Cost Calculation'!$B$7:$B$124,'A-3 Hourly Cost Calculation'!$Q$7:$Q$124,,0)</f>
        <v>42.366041392672628</v>
      </c>
      <c r="G70" s="36">
        <f t="shared" si="7"/>
        <v>10.591510348168157</v>
      </c>
      <c r="H70" s="61">
        <v>137</v>
      </c>
      <c r="I70" s="60">
        <f t="shared" si="8"/>
        <v>1451.0369176990375</v>
      </c>
      <c r="J70" s="118"/>
    </row>
    <row r="71" spans="1:10" x14ac:dyDescent="0.25">
      <c r="A71" s="43" t="s">
        <v>365</v>
      </c>
      <c r="B71" s="38" t="s">
        <v>125</v>
      </c>
      <c r="C71" s="32" t="s">
        <v>56</v>
      </c>
      <c r="D71" s="32" t="s">
        <v>464</v>
      </c>
      <c r="E71" s="36" t="s">
        <v>374</v>
      </c>
      <c r="F71" s="36">
        <f>_xlfn.XLOOKUP(B71,'A-3 Hourly Cost Calculation'!$B$7:$B$124,'A-3 Hourly Cost Calculation'!$Q$7:$Q$124,,0)</f>
        <v>33.630336303363038</v>
      </c>
      <c r="G71" s="36">
        <f t="shared" si="7"/>
        <v>8.4075840758407594</v>
      </c>
      <c r="H71" s="61">
        <v>1500</v>
      </c>
      <c r="I71" s="60">
        <f t="shared" si="8"/>
        <v>12611.37611376114</v>
      </c>
      <c r="J71" s="118"/>
    </row>
    <row r="72" spans="1:10" x14ac:dyDescent="0.25">
      <c r="A72" s="43" t="s">
        <v>365</v>
      </c>
      <c r="B72" s="38" t="s">
        <v>144</v>
      </c>
      <c r="C72" s="32" t="s">
        <v>56</v>
      </c>
      <c r="D72" s="32" t="s">
        <v>464</v>
      </c>
      <c r="E72" s="36" t="s">
        <v>374</v>
      </c>
      <c r="F72" s="36">
        <f>_xlfn.XLOOKUP(B72,'A-3 Hourly Cost Calculation'!$B$7:$B$124,'A-3 Hourly Cost Calculation'!$Q$7:$Q$124,,0)</f>
        <v>26.119561870254017</v>
      </c>
      <c r="G72" s="36">
        <f t="shared" si="7"/>
        <v>6.5298904675635043</v>
      </c>
      <c r="H72" s="61">
        <v>349</v>
      </c>
      <c r="I72" s="60">
        <f t="shared" si="8"/>
        <v>2278.9317731796632</v>
      </c>
      <c r="J72" s="118"/>
    </row>
    <row r="73" spans="1:10" x14ac:dyDescent="0.25">
      <c r="A73" s="43" t="s">
        <v>365</v>
      </c>
      <c r="B73" s="38" t="s">
        <v>370</v>
      </c>
      <c r="C73" s="32" t="s">
        <v>56</v>
      </c>
      <c r="D73" s="32" t="s">
        <v>464</v>
      </c>
      <c r="E73" s="36" t="s">
        <v>374</v>
      </c>
      <c r="F73" s="36">
        <f>_xlfn.XLOOKUP(B73,'A-3 Hourly Cost Calculation'!$B$7:$B$124,'A-3 Hourly Cost Calculation'!$Q$7:$Q$124,,0)</f>
        <v>16.941253254244504</v>
      </c>
      <c r="G73" s="36">
        <f t="shared" si="7"/>
        <v>4.2353133135611261</v>
      </c>
      <c r="H73" s="61">
        <v>16147</v>
      </c>
      <c r="I73" s="60">
        <f t="shared" si="8"/>
        <v>68387.604074071496</v>
      </c>
      <c r="J73" s="118"/>
    </row>
    <row r="74" spans="1:10" x14ac:dyDescent="0.25">
      <c r="A74" s="43" t="s">
        <v>365</v>
      </c>
      <c r="B74" s="38" t="s">
        <v>157</v>
      </c>
      <c r="C74" s="32" t="s">
        <v>56</v>
      </c>
      <c r="D74" s="32" t="s">
        <v>464</v>
      </c>
      <c r="E74" s="36" t="s">
        <v>374</v>
      </c>
      <c r="F74" s="36">
        <f>_xlfn.XLOOKUP(B74,'A-3 Hourly Cost Calculation'!$B$7:$B$124,'A-3 Hourly Cost Calculation'!$Q$7:$Q$124,,0)</f>
        <v>69.469469984809521</v>
      </c>
      <c r="G74" s="36">
        <f t="shared" si="7"/>
        <v>17.36736749620238</v>
      </c>
      <c r="H74" s="61">
        <v>89</v>
      </c>
      <c r="I74" s="60">
        <f t="shared" si="8"/>
        <v>1545.6957071620118</v>
      </c>
      <c r="J74" s="118"/>
    </row>
    <row r="75" spans="1:10" x14ac:dyDescent="0.25">
      <c r="A75" s="43" t="s">
        <v>365</v>
      </c>
      <c r="B75" s="38" t="s">
        <v>161</v>
      </c>
      <c r="C75" s="32" t="s">
        <v>56</v>
      </c>
      <c r="D75" s="32" t="s">
        <v>464</v>
      </c>
      <c r="E75" s="36" t="s">
        <v>374</v>
      </c>
      <c r="F75" s="36">
        <f>_xlfn.XLOOKUP(B75,'A-3 Hourly Cost Calculation'!$B$7:$B$124,'A-3 Hourly Cost Calculation'!$Q$7:$Q$124,,0)</f>
        <v>29.358400899219404</v>
      </c>
      <c r="G75" s="36">
        <f t="shared" si="7"/>
        <v>7.3396002248048511</v>
      </c>
      <c r="H75" s="61">
        <v>45</v>
      </c>
      <c r="I75" s="60">
        <f t="shared" si="8"/>
        <v>330.28201011621832</v>
      </c>
      <c r="J75" s="118"/>
    </row>
    <row r="76" spans="1:10" x14ac:dyDescent="0.25">
      <c r="A76" s="43" t="s">
        <v>365</v>
      </c>
      <c r="B76" s="38" t="s">
        <v>162</v>
      </c>
      <c r="C76" s="32" t="s">
        <v>56</v>
      </c>
      <c r="D76" s="32" t="s">
        <v>464</v>
      </c>
      <c r="E76" s="36" t="s">
        <v>374</v>
      </c>
      <c r="F76" s="36">
        <f>_xlfn.XLOOKUP(B76,'A-3 Hourly Cost Calculation'!$B$7:$B$124,'A-3 Hourly Cost Calculation'!$Q$7:$Q$124,,0)</f>
        <v>45.70365797912855</v>
      </c>
      <c r="G76" s="36">
        <f t="shared" si="7"/>
        <v>11.425914494782138</v>
      </c>
      <c r="H76" s="61">
        <v>60435</v>
      </c>
      <c r="I76" s="60">
        <f t="shared" si="8"/>
        <v>690525.14249215845</v>
      </c>
      <c r="J76" s="118"/>
    </row>
    <row r="77" spans="1:10" x14ac:dyDescent="0.25">
      <c r="A77" s="43" t="s">
        <v>365</v>
      </c>
      <c r="B77" s="38" t="s">
        <v>169</v>
      </c>
      <c r="C77" s="32" t="s">
        <v>56</v>
      </c>
      <c r="D77" s="32" t="s">
        <v>464</v>
      </c>
      <c r="E77" s="36" t="s">
        <v>374</v>
      </c>
      <c r="F77" s="36">
        <f>_xlfn.XLOOKUP(B77,'A-3 Hourly Cost Calculation'!$B$7:$B$124,'A-3 Hourly Cost Calculation'!$Q$7:$Q$124,,0)</f>
        <v>20.748780362553276</v>
      </c>
      <c r="G77" s="36">
        <f t="shared" si="7"/>
        <v>5.1871950906383191</v>
      </c>
      <c r="H77" s="61">
        <v>303</v>
      </c>
      <c r="I77" s="60">
        <f t="shared" si="8"/>
        <v>1571.7201124634107</v>
      </c>
      <c r="J77" s="118"/>
    </row>
    <row r="78" spans="1:10" x14ac:dyDescent="0.25">
      <c r="A78" s="43" t="s">
        <v>365</v>
      </c>
      <c r="B78" s="38" t="s">
        <v>171</v>
      </c>
      <c r="C78" s="32" t="s">
        <v>56</v>
      </c>
      <c r="D78" s="32" t="s">
        <v>464</v>
      </c>
      <c r="E78" s="36" t="s">
        <v>374</v>
      </c>
      <c r="F78" s="36">
        <f>_xlfn.XLOOKUP(B78,'A-3 Hourly Cost Calculation'!$B$7:$B$124,'A-3 Hourly Cost Calculation'!$Q$7:$Q$124,,0)</f>
        <v>30.89865606665661</v>
      </c>
      <c r="G78" s="36">
        <f t="shared" si="7"/>
        <v>7.7246640166641525</v>
      </c>
      <c r="H78" s="61">
        <v>756</v>
      </c>
      <c r="I78" s="60">
        <f t="shared" si="8"/>
        <v>5839.8459965980992</v>
      </c>
      <c r="J78" s="118"/>
    </row>
    <row r="79" spans="1:10" x14ac:dyDescent="0.25">
      <c r="A79" s="43" t="s">
        <v>365</v>
      </c>
      <c r="B79" s="38" t="s">
        <v>188</v>
      </c>
      <c r="C79" s="32" t="s">
        <v>56</v>
      </c>
      <c r="D79" s="32" t="s">
        <v>464</v>
      </c>
      <c r="E79" s="36" t="s">
        <v>374</v>
      </c>
      <c r="F79" s="36">
        <f>_xlfn.XLOOKUP(B79,'A-3 Hourly Cost Calculation'!$B$7:$B$124,'A-3 Hourly Cost Calculation'!$Q$7:$Q$124,,0)</f>
        <v>25.907396168015232</v>
      </c>
      <c r="G79" s="36">
        <f t="shared" si="7"/>
        <v>6.4768490420038081</v>
      </c>
      <c r="H79" s="61">
        <v>2451</v>
      </c>
      <c r="I79" s="60">
        <f t="shared" si="8"/>
        <v>15874.757001951333</v>
      </c>
      <c r="J79" s="118"/>
    </row>
    <row r="80" spans="1:10" x14ac:dyDescent="0.25">
      <c r="A80" s="43" t="s">
        <v>365</v>
      </c>
      <c r="B80" s="38" t="s">
        <v>202</v>
      </c>
      <c r="C80" s="32" t="s">
        <v>56</v>
      </c>
      <c r="D80" s="32" t="s">
        <v>464</v>
      </c>
      <c r="E80" s="36" t="s">
        <v>374</v>
      </c>
      <c r="F80" s="36">
        <f>_xlfn.XLOOKUP(B80,'A-3 Hourly Cost Calculation'!$B$7:$B$124,'A-3 Hourly Cost Calculation'!$Q$7:$Q$124,,0)</f>
        <v>20.080260883286854</v>
      </c>
      <c r="G80" s="36">
        <f t="shared" si="7"/>
        <v>5.0200652208217136</v>
      </c>
      <c r="H80" s="61">
        <v>2647</v>
      </c>
      <c r="I80" s="60">
        <f t="shared" si="8"/>
        <v>13288.112639515075</v>
      </c>
      <c r="J80" s="118"/>
    </row>
    <row r="81" spans="1:10" x14ac:dyDescent="0.25">
      <c r="A81" s="43" t="s">
        <v>365</v>
      </c>
      <c r="B81" s="38" t="s">
        <v>205</v>
      </c>
      <c r="C81" s="32" t="s">
        <v>56</v>
      </c>
      <c r="D81" s="32" t="s">
        <v>464</v>
      </c>
      <c r="E81" s="36" t="s">
        <v>374</v>
      </c>
      <c r="F81" s="36">
        <f>_xlfn.XLOOKUP(B81,'A-3 Hourly Cost Calculation'!$B$7:$B$124,'A-3 Hourly Cost Calculation'!$Q$7:$Q$124,,0)</f>
        <v>58.301551797233017</v>
      </c>
      <c r="G81" s="36">
        <f t="shared" si="7"/>
        <v>14.575387949308254</v>
      </c>
      <c r="H81" s="61">
        <v>8802</v>
      </c>
      <c r="I81" s="60">
        <f t="shared" si="8"/>
        <v>128292.56472981126</v>
      </c>
      <c r="J81" s="118"/>
    </row>
    <row r="82" spans="1:10" x14ac:dyDescent="0.25">
      <c r="A82" s="43" t="s">
        <v>365</v>
      </c>
      <c r="B82" s="38" t="s">
        <v>82</v>
      </c>
      <c r="C82" s="32" t="s">
        <v>56</v>
      </c>
      <c r="D82" s="32" t="s">
        <v>464</v>
      </c>
      <c r="E82" s="36" t="s">
        <v>374</v>
      </c>
      <c r="F82" s="36">
        <f>_xlfn.XLOOKUP(B82,'A-3 Hourly Cost Calculation'!$B$7:$B$124,'A-3 Hourly Cost Calculation'!$Q$7:$Q$124,,0)</f>
        <v>21.581589874826445</v>
      </c>
      <c r="G82" s="36">
        <f t="shared" si="7"/>
        <v>5.3953974687066113</v>
      </c>
      <c r="H82" s="61"/>
      <c r="I82" s="60"/>
      <c r="J82" s="118"/>
    </row>
    <row r="83" spans="1:10" x14ac:dyDescent="0.25">
      <c r="A83" s="43" t="s">
        <v>365</v>
      </c>
      <c r="B83" s="38" t="s">
        <v>97</v>
      </c>
      <c r="C83" s="32" t="s">
        <v>56</v>
      </c>
      <c r="D83" s="32" t="s">
        <v>464</v>
      </c>
      <c r="E83" s="36" t="s">
        <v>374</v>
      </c>
      <c r="F83" s="36">
        <f>_xlfn.XLOOKUP(B83,'A-3 Hourly Cost Calculation'!$B$7:$B$124,'A-3 Hourly Cost Calculation'!$Q$7:$Q$124,,0)</f>
        <v>22.281587610046223</v>
      </c>
      <c r="G83" s="36">
        <f t="shared" si="7"/>
        <v>5.5703969025115558</v>
      </c>
      <c r="H83" s="61"/>
      <c r="I83" s="60"/>
      <c r="J83" s="118"/>
    </row>
    <row r="84" spans="1:10" x14ac:dyDescent="0.25">
      <c r="A84" s="43" t="s">
        <v>460</v>
      </c>
      <c r="B84" s="38" t="s">
        <v>427</v>
      </c>
      <c r="C84" s="32" t="s">
        <v>56</v>
      </c>
      <c r="D84" s="32" t="s">
        <v>464</v>
      </c>
      <c r="E84" s="36" t="s">
        <v>374</v>
      </c>
      <c r="F84" s="127"/>
      <c r="G84" s="36">
        <v>5.9127136170549335</v>
      </c>
      <c r="H84" s="127"/>
      <c r="I84" s="127"/>
      <c r="J84" s="118"/>
    </row>
    <row r="85" spans="1:10" x14ac:dyDescent="0.25">
      <c r="A85" s="43" t="s">
        <v>460</v>
      </c>
      <c r="B85" s="38" t="s">
        <v>429</v>
      </c>
      <c r="C85" s="32" t="s">
        <v>56</v>
      </c>
      <c r="D85" s="32" t="s">
        <v>464</v>
      </c>
      <c r="E85" s="36" t="s">
        <v>374</v>
      </c>
      <c r="F85" s="127"/>
      <c r="G85" s="36">
        <v>5.411265039727688</v>
      </c>
      <c r="H85" s="127"/>
      <c r="I85" s="127"/>
      <c r="J85" s="118"/>
    </row>
    <row r="86" spans="1:10" x14ac:dyDescent="0.25">
      <c r="A86" s="43" t="s">
        <v>365</v>
      </c>
      <c r="B86" s="38" t="s">
        <v>114</v>
      </c>
      <c r="C86" s="32" t="s">
        <v>58</v>
      </c>
      <c r="D86" s="32" t="s">
        <v>469</v>
      </c>
      <c r="E86" s="36" t="s">
        <v>374</v>
      </c>
      <c r="F86" s="36">
        <f>_xlfn.XLOOKUP(B86,'A-3 Hourly Cost Calculation'!$B$7:$B$124,'A-3 Hourly Cost Calculation'!$Q$7:$Q$124,,0)</f>
        <v>117.79734584413018</v>
      </c>
      <c r="G86" s="36">
        <f>F86*0.25</f>
        <v>29.449336461032544</v>
      </c>
      <c r="H86" s="61">
        <v>2576</v>
      </c>
      <c r="I86" s="60">
        <f>G86*H86</f>
        <v>75861.490723619834</v>
      </c>
      <c r="J86" s="118"/>
    </row>
    <row r="87" spans="1:10" x14ac:dyDescent="0.25">
      <c r="A87" s="43" t="s">
        <v>460</v>
      </c>
      <c r="B87" s="38" t="s">
        <v>430</v>
      </c>
      <c r="C87" s="32" t="s">
        <v>58</v>
      </c>
      <c r="D87" s="32" t="s">
        <v>469</v>
      </c>
      <c r="E87" s="36" t="s">
        <v>374</v>
      </c>
      <c r="F87" s="127"/>
      <c r="G87" s="36">
        <v>44.69433146559048</v>
      </c>
      <c r="H87" s="127"/>
      <c r="I87" s="127"/>
      <c r="J87" s="118"/>
    </row>
    <row r="88" spans="1:10" x14ac:dyDescent="0.25">
      <c r="A88" s="43" t="s">
        <v>365</v>
      </c>
      <c r="B88" s="38" t="s">
        <v>90</v>
      </c>
      <c r="C88" s="32" t="s">
        <v>59</v>
      </c>
      <c r="D88" s="32" t="s">
        <v>466</v>
      </c>
      <c r="E88" s="36" t="s">
        <v>374</v>
      </c>
      <c r="F88" s="36">
        <f>_xlfn.XLOOKUP(B88,'A-3 Hourly Cost Calculation'!$B$7:$B$124,'A-3 Hourly Cost Calculation'!$Q$7:$Q$124,,0)</f>
        <v>43.637354156158153</v>
      </c>
      <c r="G88" s="36">
        <f>F88*0.25</f>
        <v>10.909338539039538</v>
      </c>
      <c r="H88" s="61">
        <v>795</v>
      </c>
      <c r="I88" s="60">
        <f>G88*H88</f>
        <v>8672.924138536433</v>
      </c>
      <c r="J88" s="118"/>
    </row>
    <row r="89" spans="1:10" x14ac:dyDescent="0.25">
      <c r="A89" s="43" t="s">
        <v>365</v>
      </c>
      <c r="B89" s="38" t="s">
        <v>93</v>
      </c>
      <c r="C89" s="32" t="s">
        <v>59</v>
      </c>
      <c r="D89" s="32" t="s">
        <v>466</v>
      </c>
      <c r="E89" s="36" t="s">
        <v>374</v>
      </c>
      <c r="F89" s="36">
        <f>_xlfn.XLOOKUP(B89,'A-3 Hourly Cost Calculation'!$B$7:$B$124,'A-3 Hourly Cost Calculation'!$Q$7:$Q$124,,0)</f>
        <v>38.88504734343708</v>
      </c>
      <c r="G89" s="36">
        <f>F89*0.25</f>
        <v>9.72126183585927</v>
      </c>
      <c r="H89" s="61">
        <v>1920</v>
      </c>
      <c r="I89" s="60">
        <f>G89*H89</f>
        <v>18664.822724849797</v>
      </c>
      <c r="J89" s="118"/>
    </row>
    <row r="90" spans="1:10" x14ac:dyDescent="0.25">
      <c r="A90" s="43" t="s">
        <v>365</v>
      </c>
      <c r="B90" s="38" t="s">
        <v>370</v>
      </c>
      <c r="C90" s="32" t="s">
        <v>59</v>
      </c>
      <c r="D90" s="32" t="s">
        <v>466</v>
      </c>
      <c r="E90" s="36" t="s">
        <v>374</v>
      </c>
      <c r="F90" s="36">
        <f>_xlfn.XLOOKUP(B90,'A-3 Hourly Cost Calculation'!$B$7:$B$124,'A-3 Hourly Cost Calculation'!$Q$7:$Q$124,,0)</f>
        <v>16.941253254244504</v>
      </c>
      <c r="G90" s="36">
        <f>F90*0.25</f>
        <v>4.2353133135611261</v>
      </c>
      <c r="H90" s="61">
        <v>13045</v>
      </c>
      <c r="I90" s="60">
        <f>G90*H90</f>
        <v>55249.66217540489</v>
      </c>
      <c r="J90" s="118"/>
    </row>
    <row r="91" spans="1:10" x14ac:dyDescent="0.25">
      <c r="A91" s="43" t="s">
        <v>365</v>
      </c>
      <c r="B91" s="38" t="s">
        <v>171</v>
      </c>
      <c r="C91" s="32" t="s">
        <v>59</v>
      </c>
      <c r="D91" s="32" t="s">
        <v>466</v>
      </c>
      <c r="E91" s="36" t="s">
        <v>374</v>
      </c>
      <c r="F91" s="36">
        <f>_xlfn.XLOOKUP(B91,'A-3 Hourly Cost Calculation'!$B$7:$B$124,'A-3 Hourly Cost Calculation'!$Q$7:$Q$124,,0)</f>
        <v>30.89865606665661</v>
      </c>
      <c r="G91" s="36">
        <f>F91*0.25</f>
        <v>7.7246640166641525</v>
      </c>
      <c r="H91" s="61">
        <v>3200</v>
      </c>
      <c r="I91" s="60">
        <f>G91*H91</f>
        <v>24718.924853325287</v>
      </c>
      <c r="J91" s="118"/>
    </row>
    <row r="92" spans="1:10" x14ac:dyDescent="0.25">
      <c r="A92" s="43" t="s">
        <v>365</v>
      </c>
      <c r="B92" s="38" t="s">
        <v>82</v>
      </c>
      <c r="C92" s="32" t="s">
        <v>59</v>
      </c>
      <c r="D92" s="32" t="s">
        <v>466</v>
      </c>
      <c r="E92" s="36" t="s">
        <v>374</v>
      </c>
      <c r="F92" s="36">
        <f>_xlfn.XLOOKUP(B92,'A-3 Hourly Cost Calculation'!$B$7:$B$124,'A-3 Hourly Cost Calculation'!$Q$7:$Q$124,,0)</f>
        <v>21.581589874826445</v>
      </c>
      <c r="G92" s="36">
        <f>F92*0.25</f>
        <v>5.3953974687066113</v>
      </c>
      <c r="H92" s="61"/>
      <c r="I92" s="60"/>
      <c r="J92" s="118"/>
    </row>
    <row r="93" spans="1:10" x14ac:dyDescent="0.25">
      <c r="A93" s="43" t="s">
        <v>460</v>
      </c>
      <c r="B93" s="38" t="s">
        <v>430</v>
      </c>
      <c r="C93" s="32" t="s">
        <v>59</v>
      </c>
      <c r="D93" s="32" t="s">
        <v>466</v>
      </c>
      <c r="E93" s="36" t="s">
        <v>374</v>
      </c>
      <c r="F93" s="127"/>
      <c r="G93" s="36">
        <v>46.38031949909395</v>
      </c>
      <c r="H93" s="127"/>
      <c r="I93" s="127"/>
      <c r="J93" s="118"/>
    </row>
    <row r="94" spans="1:10" x14ac:dyDescent="0.25">
      <c r="A94" s="43" t="s">
        <v>460</v>
      </c>
      <c r="B94" s="38" t="s">
        <v>431</v>
      </c>
      <c r="C94" s="32" t="s">
        <v>59</v>
      </c>
      <c r="D94" s="32" t="s">
        <v>466</v>
      </c>
      <c r="E94" s="36" t="s">
        <v>374</v>
      </c>
      <c r="F94" s="127"/>
      <c r="G94" s="36">
        <v>36.473848461052057</v>
      </c>
      <c r="H94" s="127"/>
      <c r="I94" s="127"/>
      <c r="J94" s="118"/>
    </row>
    <row r="95" spans="1:10" x14ac:dyDescent="0.25">
      <c r="A95" s="43" t="s">
        <v>460</v>
      </c>
      <c r="B95" s="38" t="s">
        <v>427</v>
      </c>
      <c r="C95" s="32" t="s">
        <v>59</v>
      </c>
      <c r="D95" s="32" t="s">
        <v>466</v>
      </c>
      <c r="E95" s="36" t="s">
        <v>374</v>
      </c>
      <c r="F95" s="127"/>
      <c r="G95" s="36">
        <v>14.330637076183864</v>
      </c>
      <c r="H95" s="127"/>
      <c r="I95" s="127"/>
      <c r="J95" s="118"/>
    </row>
    <row r="96" spans="1:10" x14ac:dyDescent="0.25">
      <c r="A96" s="43" t="s">
        <v>365</v>
      </c>
      <c r="B96" s="38" t="s">
        <v>91</v>
      </c>
      <c r="C96" s="32" t="s">
        <v>60</v>
      </c>
      <c r="D96" s="32" t="s">
        <v>467</v>
      </c>
      <c r="E96" s="36" t="s">
        <v>374</v>
      </c>
      <c r="F96" s="36">
        <f>_xlfn.XLOOKUP(B96,'A-3 Hourly Cost Calculation'!$B$7:$B$124,'A-3 Hourly Cost Calculation'!$Q$7:$Q$124,,0)</f>
        <v>71.620510231978557</v>
      </c>
      <c r="G96" s="36">
        <f t="shared" ref="G96:G102" si="9">F96*0.25</f>
        <v>17.905127557994639</v>
      </c>
      <c r="H96" s="61">
        <v>66342</v>
      </c>
      <c r="I96" s="60">
        <f t="shared" ref="I96:I102" si="10">G96*H96</f>
        <v>1187861.9724524803</v>
      </c>
      <c r="J96" s="118"/>
    </row>
    <row r="97" spans="1:10" x14ac:dyDescent="0.25">
      <c r="A97" s="43" t="s">
        <v>365</v>
      </c>
      <c r="B97" s="38" t="s">
        <v>106</v>
      </c>
      <c r="C97" s="32" t="s">
        <v>60</v>
      </c>
      <c r="D97" s="32" t="s">
        <v>467</v>
      </c>
      <c r="E97" s="36" t="s">
        <v>374</v>
      </c>
      <c r="F97" s="36">
        <f>_xlfn.XLOOKUP(B97,'A-3 Hourly Cost Calculation'!$B$7:$B$124,'A-3 Hourly Cost Calculation'!$Q$7:$Q$124,,0)</f>
        <v>34.429743030096361</v>
      </c>
      <c r="G97" s="36">
        <f t="shared" si="9"/>
        <v>8.6074357575240903</v>
      </c>
      <c r="H97" s="61">
        <v>11291</v>
      </c>
      <c r="I97" s="60">
        <f t="shared" si="10"/>
        <v>97186.557138204502</v>
      </c>
      <c r="J97" s="118"/>
    </row>
    <row r="98" spans="1:10" x14ac:dyDescent="0.25">
      <c r="A98" s="43" t="s">
        <v>365</v>
      </c>
      <c r="B98" s="38" t="s">
        <v>160</v>
      </c>
      <c r="C98" s="32" t="s">
        <v>60</v>
      </c>
      <c r="D98" s="32" t="s">
        <v>467</v>
      </c>
      <c r="E98" s="36" t="s">
        <v>374</v>
      </c>
      <c r="F98" s="36">
        <f>_xlfn.XLOOKUP(B98,'A-3 Hourly Cost Calculation'!$B$7:$B$124,'A-3 Hourly Cost Calculation'!$Q$7:$Q$124,,0)</f>
        <v>69.505511888351407</v>
      </c>
      <c r="G98" s="36">
        <f t="shared" si="9"/>
        <v>17.376377972087852</v>
      </c>
      <c r="H98" s="61">
        <v>37784</v>
      </c>
      <c r="I98" s="60">
        <f t="shared" si="10"/>
        <v>656549.0652973674</v>
      </c>
      <c r="J98" s="118"/>
    </row>
    <row r="99" spans="1:10" x14ac:dyDescent="0.25">
      <c r="A99" s="43" t="s">
        <v>365</v>
      </c>
      <c r="B99" s="38" t="s">
        <v>164</v>
      </c>
      <c r="C99" s="32" t="s">
        <v>60</v>
      </c>
      <c r="D99" s="32" t="s">
        <v>467</v>
      </c>
      <c r="E99" s="36" t="s">
        <v>374</v>
      </c>
      <c r="F99" s="36">
        <f>_xlfn.XLOOKUP(B99,'A-3 Hourly Cost Calculation'!$B$7:$B$124,'A-3 Hourly Cost Calculation'!$Q$7:$Q$124,,0)</f>
        <v>29.679455042718914</v>
      </c>
      <c r="G99" s="36">
        <f t="shared" si="9"/>
        <v>7.4198637606797284</v>
      </c>
      <c r="H99" s="61">
        <v>151815</v>
      </c>
      <c r="I99" s="60">
        <f t="shared" si="10"/>
        <v>1126446.616827593</v>
      </c>
      <c r="J99" s="118"/>
    </row>
    <row r="100" spans="1:10" x14ac:dyDescent="0.25">
      <c r="A100" s="43" t="s">
        <v>365</v>
      </c>
      <c r="B100" s="38" t="s">
        <v>168</v>
      </c>
      <c r="C100" s="32" t="s">
        <v>60</v>
      </c>
      <c r="D100" s="32" t="s">
        <v>467</v>
      </c>
      <c r="E100" s="36" t="s">
        <v>374</v>
      </c>
      <c r="F100" s="36">
        <f>_xlfn.XLOOKUP(B100,'A-3 Hourly Cost Calculation'!$B$7:$B$124,'A-3 Hourly Cost Calculation'!$Q$7:$Q$124,,0)</f>
        <v>45.757129756936905</v>
      </c>
      <c r="G100" s="36">
        <f t="shared" si="9"/>
        <v>11.439282439234226</v>
      </c>
      <c r="H100" s="61">
        <v>2626</v>
      </c>
      <c r="I100" s="60">
        <f t="shared" si="10"/>
        <v>30039.555685429077</v>
      </c>
      <c r="J100" s="118"/>
    </row>
    <row r="101" spans="1:10" x14ac:dyDescent="0.25">
      <c r="A101" s="43" t="s">
        <v>365</v>
      </c>
      <c r="B101" s="38" t="s">
        <v>174</v>
      </c>
      <c r="C101" s="32" t="s">
        <v>60</v>
      </c>
      <c r="D101" s="32" t="s">
        <v>467</v>
      </c>
      <c r="E101" s="36" t="s">
        <v>374</v>
      </c>
      <c r="F101" s="36">
        <f>_xlfn.XLOOKUP(B101,'A-3 Hourly Cost Calculation'!$B$7:$B$124,'A-3 Hourly Cost Calculation'!$Q$7:$Q$124,,0)</f>
        <v>33.658011363636369</v>
      </c>
      <c r="G101" s="36">
        <f t="shared" si="9"/>
        <v>8.4145028409090923</v>
      </c>
      <c r="H101" s="61">
        <v>32</v>
      </c>
      <c r="I101" s="60">
        <f t="shared" si="10"/>
        <v>269.26409090909095</v>
      </c>
      <c r="J101" s="118"/>
    </row>
    <row r="102" spans="1:10" x14ac:dyDescent="0.25">
      <c r="A102" s="43" t="s">
        <v>365</v>
      </c>
      <c r="B102" s="38" t="s">
        <v>203</v>
      </c>
      <c r="C102" s="32" t="s">
        <v>60</v>
      </c>
      <c r="D102" s="32" t="s">
        <v>467</v>
      </c>
      <c r="E102" s="36" t="s">
        <v>374</v>
      </c>
      <c r="F102" s="36">
        <f>_xlfn.XLOOKUP(B102,'A-3 Hourly Cost Calculation'!$B$7:$B$124,'A-3 Hourly Cost Calculation'!$Q$7:$Q$124,,0)</f>
        <v>73.99597147948397</v>
      </c>
      <c r="G102" s="36">
        <f t="shared" si="9"/>
        <v>18.498992869870992</v>
      </c>
      <c r="H102" s="61">
        <v>3887</v>
      </c>
      <c r="I102" s="60">
        <f t="shared" si="10"/>
        <v>71905.585285188543</v>
      </c>
      <c r="J102" s="118"/>
    </row>
    <row r="103" spans="1:10" x14ac:dyDescent="0.25">
      <c r="A103" s="43" t="s">
        <v>460</v>
      </c>
      <c r="B103" s="38" t="s">
        <v>432</v>
      </c>
      <c r="C103" s="32" t="s">
        <v>60</v>
      </c>
      <c r="D103" s="32" t="s">
        <v>467</v>
      </c>
      <c r="E103" s="36" t="s">
        <v>374</v>
      </c>
      <c r="F103" s="127"/>
      <c r="G103" s="36">
        <v>29.231974824403746</v>
      </c>
      <c r="H103" s="127"/>
      <c r="I103" s="127"/>
      <c r="J103" s="118"/>
    </row>
    <row r="104" spans="1:10" x14ac:dyDescent="0.25">
      <c r="A104" s="43" t="s">
        <v>460</v>
      </c>
      <c r="B104" s="38" t="s">
        <v>433</v>
      </c>
      <c r="C104" s="32" t="s">
        <v>60</v>
      </c>
      <c r="D104" s="32" t="s">
        <v>467</v>
      </c>
      <c r="E104" s="36" t="s">
        <v>374</v>
      </c>
      <c r="F104" s="127"/>
      <c r="G104" s="36">
        <v>41.738049168316238</v>
      </c>
      <c r="H104" s="127"/>
      <c r="I104" s="127"/>
      <c r="J104" s="118"/>
    </row>
    <row r="105" spans="1:10" x14ac:dyDescent="0.25">
      <c r="A105" s="43" t="s">
        <v>460</v>
      </c>
      <c r="B105" s="38" t="s">
        <v>434</v>
      </c>
      <c r="C105" s="32" t="s">
        <v>60</v>
      </c>
      <c r="D105" s="32" t="s">
        <v>467</v>
      </c>
      <c r="E105" s="36" t="s">
        <v>374</v>
      </c>
      <c r="F105" s="127"/>
      <c r="G105" s="36">
        <v>45.765989817040769</v>
      </c>
      <c r="H105" s="127"/>
      <c r="I105" s="127"/>
      <c r="J105" s="118"/>
    </row>
    <row r="106" spans="1:10" x14ac:dyDescent="0.25">
      <c r="A106" s="43" t="s">
        <v>365</v>
      </c>
      <c r="B106" s="38" t="s">
        <v>80</v>
      </c>
      <c r="C106" s="32" t="s">
        <v>61</v>
      </c>
      <c r="D106" s="32" t="s">
        <v>465</v>
      </c>
      <c r="E106" s="36" t="s">
        <v>374</v>
      </c>
      <c r="F106" s="36">
        <f>_xlfn.XLOOKUP(B106,'A-3 Hourly Cost Calculation'!$B$7:$B$124,'A-3 Hourly Cost Calculation'!$Q$7:$Q$124,,0)</f>
        <v>56.457982619614192</v>
      </c>
      <c r="G106" s="36">
        <f t="shared" ref="G106:G111" si="11">F106*0.25</f>
        <v>14.114495654903548</v>
      </c>
      <c r="H106" s="61">
        <v>999</v>
      </c>
      <c r="I106" s="60">
        <f>G106*H106</f>
        <v>14100.381159248645</v>
      </c>
      <c r="J106" s="118"/>
    </row>
    <row r="107" spans="1:10" x14ac:dyDescent="0.25">
      <c r="A107" s="43" t="s">
        <v>365</v>
      </c>
      <c r="B107" s="38" t="s">
        <v>113</v>
      </c>
      <c r="C107" s="32" t="s">
        <v>61</v>
      </c>
      <c r="D107" s="32" t="s">
        <v>465</v>
      </c>
      <c r="E107" s="36" t="s">
        <v>374</v>
      </c>
      <c r="F107" s="36">
        <f>_xlfn.XLOOKUP(B107,'A-3 Hourly Cost Calculation'!$B$7:$B$124,'A-3 Hourly Cost Calculation'!$Q$7:$Q$124,,0)</f>
        <v>42.366041392672628</v>
      </c>
      <c r="G107" s="36">
        <f t="shared" si="11"/>
        <v>10.591510348168157</v>
      </c>
      <c r="H107" s="61">
        <v>12590</v>
      </c>
      <c r="I107" s="60">
        <f>G107*H107</f>
        <v>133347.1152834371</v>
      </c>
      <c r="J107" s="118"/>
    </row>
    <row r="108" spans="1:10" x14ac:dyDescent="0.25">
      <c r="A108" s="43" t="s">
        <v>365</v>
      </c>
      <c r="B108" s="38" t="s">
        <v>114</v>
      </c>
      <c r="C108" s="32" t="s">
        <v>61</v>
      </c>
      <c r="D108" s="32" t="s">
        <v>465</v>
      </c>
      <c r="E108" s="36" t="s">
        <v>374</v>
      </c>
      <c r="F108" s="36">
        <f>_xlfn.XLOOKUP(B108,'A-3 Hourly Cost Calculation'!$B$7:$B$124,'A-3 Hourly Cost Calculation'!$Q$7:$Q$124,,0)</f>
        <v>117.79734584413018</v>
      </c>
      <c r="G108" s="36">
        <f t="shared" si="11"/>
        <v>29.449336461032544</v>
      </c>
      <c r="H108" s="61">
        <v>10784</v>
      </c>
      <c r="I108" s="60">
        <f>G108*H108</f>
        <v>317581.64439577493</v>
      </c>
      <c r="J108" s="118"/>
    </row>
    <row r="109" spans="1:10" x14ac:dyDescent="0.25">
      <c r="A109" s="43" t="s">
        <v>365</v>
      </c>
      <c r="B109" s="38" t="s">
        <v>125</v>
      </c>
      <c r="C109" s="32" t="s">
        <v>61</v>
      </c>
      <c r="D109" s="32" t="s">
        <v>465</v>
      </c>
      <c r="E109" s="36" t="s">
        <v>374</v>
      </c>
      <c r="F109" s="36">
        <f>_xlfn.XLOOKUP(B109,'A-3 Hourly Cost Calculation'!$B$7:$B$124,'A-3 Hourly Cost Calculation'!$Q$7:$Q$124,,0)</f>
        <v>33.630336303363038</v>
      </c>
      <c r="G109" s="36">
        <f t="shared" si="11"/>
        <v>8.4075840758407594</v>
      </c>
      <c r="H109" s="61">
        <v>1500</v>
      </c>
      <c r="I109" s="60">
        <f>G109*H109</f>
        <v>12611.37611376114</v>
      </c>
      <c r="J109" s="118"/>
    </row>
    <row r="110" spans="1:10" x14ac:dyDescent="0.25">
      <c r="A110" s="43" t="s">
        <v>365</v>
      </c>
      <c r="B110" s="38" t="s">
        <v>159</v>
      </c>
      <c r="C110" s="32" t="s">
        <v>61</v>
      </c>
      <c r="D110" s="32" t="s">
        <v>465</v>
      </c>
      <c r="E110" s="36" t="s">
        <v>374</v>
      </c>
      <c r="F110" s="36">
        <f>_xlfn.XLOOKUP(B110,'A-3 Hourly Cost Calculation'!$B$7:$B$124,'A-3 Hourly Cost Calculation'!$Q$7:$Q$124,,0)</f>
        <v>85.335612768114402</v>
      </c>
      <c r="G110" s="36">
        <f t="shared" si="11"/>
        <v>21.3339031920286</v>
      </c>
      <c r="H110" s="61">
        <v>586</v>
      </c>
      <c r="I110" s="60">
        <f>G110*H110</f>
        <v>12501.66727052876</v>
      </c>
      <c r="J110" s="118"/>
    </row>
    <row r="111" spans="1:10" x14ac:dyDescent="0.25">
      <c r="A111" s="43" t="s">
        <v>365</v>
      </c>
      <c r="B111" s="38" t="s">
        <v>176</v>
      </c>
      <c r="C111" s="32" t="s">
        <v>61</v>
      </c>
      <c r="D111" s="32" t="s">
        <v>465</v>
      </c>
      <c r="E111" s="36" t="s">
        <v>374</v>
      </c>
      <c r="F111" s="36">
        <f>_xlfn.XLOOKUP(B111,'A-3 Hourly Cost Calculation'!$B$7:$B$124,'A-3 Hourly Cost Calculation'!$Q$7:$Q$124,,0)</f>
        <v>20.468597780361836</v>
      </c>
      <c r="G111" s="36">
        <f t="shared" si="11"/>
        <v>5.1171494450904591</v>
      </c>
      <c r="H111" s="61"/>
      <c r="I111" s="60"/>
      <c r="J111" s="118"/>
    </row>
    <row r="112" spans="1:10" x14ac:dyDescent="0.25">
      <c r="A112" s="43" t="s">
        <v>460</v>
      </c>
      <c r="B112" s="38" t="s">
        <v>82</v>
      </c>
      <c r="C112" s="32" t="s">
        <v>61</v>
      </c>
      <c r="D112" s="32" t="s">
        <v>465</v>
      </c>
      <c r="E112" s="36" t="s">
        <v>374</v>
      </c>
      <c r="F112" s="127"/>
      <c r="G112" s="36">
        <v>23.219941151367053</v>
      </c>
      <c r="H112" s="127"/>
      <c r="I112" s="127"/>
      <c r="J112" s="118"/>
    </row>
    <row r="113" spans="1:10" x14ac:dyDescent="0.25">
      <c r="A113" s="43" t="s">
        <v>460</v>
      </c>
      <c r="B113" s="38" t="s">
        <v>429</v>
      </c>
      <c r="C113" s="32" t="s">
        <v>61</v>
      </c>
      <c r="D113" s="32" t="s">
        <v>465</v>
      </c>
      <c r="E113" s="36" t="s">
        <v>374</v>
      </c>
      <c r="F113" s="127"/>
      <c r="G113" s="36">
        <v>4.430322206838702</v>
      </c>
      <c r="H113" s="127"/>
      <c r="I113" s="127"/>
      <c r="J113" s="118"/>
    </row>
    <row r="114" spans="1:10" x14ac:dyDescent="0.25">
      <c r="A114" s="43" t="s">
        <v>365</v>
      </c>
      <c r="B114" s="38" t="s">
        <v>194</v>
      </c>
      <c r="C114" s="32" t="s">
        <v>63</v>
      </c>
      <c r="D114" s="32" t="s">
        <v>471</v>
      </c>
      <c r="E114" s="36" t="s">
        <v>374</v>
      </c>
      <c r="F114" s="36">
        <f>_xlfn.XLOOKUP(B114,'A-3 Hourly Cost Calculation'!$B$7:$B$124,'A-3 Hourly Cost Calculation'!$Q$7:$Q$124,,0)</f>
        <v>97.867086413891414</v>
      </c>
      <c r="G114" s="36">
        <f>F114*0.25</f>
        <v>24.466771603472854</v>
      </c>
      <c r="H114" s="61">
        <v>3240</v>
      </c>
      <c r="I114" s="60">
        <f t="shared" ref="I114:I123" si="12">G114*H114</f>
        <v>79272.339995252041</v>
      </c>
      <c r="J114" s="118"/>
    </row>
    <row r="115" spans="1:10" x14ac:dyDescent="0.25">
      <c r="A115" s="43" t="s">
        <v>365</v>
      </c>
      <c r="B115" s="38" t="s">
        <v>93</v>
      </c>
      <c r="C115" s="32" t="s">
        <v>66</v>
      </c>
      <c r="D115" s="32" t="s">
        <v>74</v>
      </c>
      <c r="E115" s="36" t="s">
        <v>477</v>
      </c>
      <c r="F115" s="36">
        <f>_xlfn.XLOOKUP(B115,'A-3 Hourly Cost Calculation'!$B$7:$B$124,'A-3 Hourly Cost Calculation'!$Q$7:$Q$124,,0)</f>
        <v>38.88504734343708</v>
      </c>
      <c r="G115" s="36">
        <f t="shared" ref="G115:G123" si="13">F115</f>
        <v>38.88504734343708</v>
      </c>
      <c r="H115" s="61">
        <v>44981</v>
      </c>
      <c r="I115" s="60">
        <f t="shared" si="12"/>
        <v>1749088.3145551432</v>
      </c>
      <c r="J115" s="118"/>
    </row>
    <row r="116" spans="1:10" x14ac:dyDescent="0.25">
      <c r="A116" s="43" t="s">
        <v>365</v>
      </c>
      <c r="B116" s="38" t="s">
        <v>166</v>
      </c>
      <c r="C116" s="32" t="s">
        <v>66</v>
      </c>
      <c r="D116" s="32" t="s">
        <v>74</v>
      </c>
      <c r="E116" s="36" t="s">
        <v>477</v>
      </c>
      <c r="F116" s="36">
        <f>_xlfn.XLOOKUP(B116,'A-3 Hourly Cost Calculation'!$B$7:$B$124,'A-3 Hourly Cost Calculation'!$Q$7:$Q$124,,0)</f>
        <v>25.986928548075426</v>
      </c>
      <c r="G116" s="36">
        <f t="shared" si="13"/>
        <v>25.986928548075426</v>
      </c>
      <c r="H116" s="61">
        <v>5191</v>
      </c>
      <c r="I116" s="60">
        <f t="shared" si="12"/>
        <v>134898.14609305953</v>
      </c>
      <c r="J116" s="118"/>
    </row>
    <row r="117" spans="1:10" x14ac:dyDescent="0.25">
      <c r="A117" s="43" t="s">
        <v>365</v>
      </c>
      <c r="B117" s="38" t="s">
        <v>169</v>
      </c>
      <c r="C117" s="32" t="s">
        <v>66</v>
      </c>
      <c r="D117" s="32" t="s">
        <v>74</v>
      </c>
      <c r="E117" s="36" t="s">
        <v>477</v>
      </c>
      <c r="F117" s="36">
        <f>_xlfn.XLOOKUP(B117,'A-3 Hourly Cost Calculation'!$B$7:$B$124,'A-3 Hourly Cost Calculation'!$Q$7:$Q$124,,0)</f>
        <v>20.748780362553276</v>
      </c>
      <c r="G117" s="36">
        <f t="shared" si="13"/>
        <v>20.748780362553276</v>
      </c>
      <c r="H117" s="61">
        <v>18</v>
      </c>
      <c r="I117" s="60">
        <f t="shared" si="12"/>
        <v>373.47804652595897</v>
      </c>
      <c r="J117" s="118"/>
    </row>
    <row r="118" spans="1:10" x14ac:dyDescent="0.25">
      <c r="A118" s="43" t="s">
        <v>365</v>
      </c>
      <c r="B118" s="38" t="s">
        <v>172</v>
      </c>
      <c r="C118" s="32" t="s">
        <v>66</v>
      </c>
      <c r="D118" s="32" t="s">
        <v>74</v>
      </c>
      <c r="E118" s="36" t="s">
        <v>477</v>
      </c>
      <c r="F118" s="36">
        <f>_xlfn.XLOOKUP(B118,'A-3 Hourly Cost Calculation'!$B$7:$B$124,'A-3 Hourly Cost Calculation'!$Q$7:$Q$124,,0)</f>
        <v>32.883493735221059</v>
      </c>
      <c r="G118" s="36">
        <f t="shared" si="13"/>
        <v>32.883493735221059</v>
      </c>
      <c r="H118" s="61">
        <v>107309</v>
      </c>
      <c r="I118" s="60">
        <f t="shared" si="12"/>
        <v>3528694.8292328366</v>
      </c>
      <c r="J118" s="118"/>
    </row>
    <row r="119" spans="1:10" x14ac:dyDescent="0.25">
      <c r="A119" s="43" t="s">
        <v>365</v>
      </c>
      <c r="B119" s="38" t="s">
        <v>188</v>
      </c>
      <c r="C119" s="32" t="s">
        <v>66</v>
      </c>
      <c r="D119" s="32" t="s">
        <v>74</v>
      </c>
      <c r="E119" s="36" t="s">
        <v>477</v>
      </c>
      <c r="F119" s="36">
        <f>_xlfn.XLOOKUP(B119,'A-3 Hourly Cost Calculation'!$B$7:$B$124,'A-3 Hourly Cost Calculation'!$Q$7:$Q$124,,0)</f>
        <v>25.907396168015232</v>
      </c>
      <c r="G119" s="36">
        <f t="shared" si="13"/>
        <v>25.907396168015232</v>
      </c>
      <c r="H119" s="61">
        <v>754</v>
      </c>
      <c r="I119" s="60">
        <f t="shared" si="12"/>
        <v>19534.176710683485</v>
      </c>
      <c r="J119" s="118"/>
    </row>
    <row r="120" spans="1:10" x14ac:dyDescent="0.25">
      <c r="A120" s="43" t="s">
        <v>365</v>
      </c>
      <c r="B120" s="38" t="s">
        <v>191</v>
      </c>
      <c r="C120" s="32" t="s">
        <v>66</v>
      </c>
      <c r="D120" s="32" t="s">
        <v>74</v>
      </c>
      <c r="E120" s="36" t="s">
        <v>477</v>
      </c>
      <c r="F120" s="36">
        <f>_xlfn.XLOOKUP(B120,'A-3 Hourly Cost Calculation'!$B$7:$B$124,'A-3 Hourly Cost Calculation'!$Q$7:$Q$124,,0)</f>
        <v>40.060538592573423</v>
      </c>
      <c r="G120" s="36">
        <f t="shared" si="13"/>
        <v>40.060538592573423</v>
      </c>
      <c r="H120" s="61">
        <v>730</v>
      </c>
      <c r="I120" s="60">
        <f t="shared" si="12"/>
        <v>29244.193172578598</v>
      </c>
      <c r="J120" s="118"/>
    </row>
    <row r="121" spans="1:10" x14ac:dyDescent="0.25">
      <c r="A121" s="43" t="s">
        <v>365</v>
      </c>
      <c r="B121" s="38" t="s">
        <v>197</v>
      </c>
      <c r="C121" s="32" t="s">
        <v>66</v>
      </c>
      <c r="D121" s="32" t="s">
        <v>74</v>
      </c>
      <c r="E121" s="36" t="s">
        <v>477</v>
      </c>
      <c r="F121" s="36">
        <f>_xlfn.XLOOKUP(B121,'A-3 Hourly Cost Calculation'!$B$7:$B$124,'A-3 Hourly Cost Calculation'!$Q$7:$Q$124,,0)</f>
        <v>20.24149206634802</v>
      </c>
      <c r="G121" s="36">
        <f t="shared" si="13"/>
        <v>20.24149206634802</v>
      </c>
      <c r="H121" s="61">
        <v>8972</v>
      </c>
      <c r="I121" s="60">
        <f t="shared" si="12"/>
        <v>181606.66681927443</v>
      </c>
      <c r="J121" s="118"/>
    </row>
    <row r="122" spans="1:10" x14ac:dyDescent="0.25">
      <c r="A122" s="43" t="s">
        <v>365</v>
      </c>
      <c r="B122" s="38" t="s">
        <v>198</v>
      </c>
      <c r="C122" s="32" t="s">
        <v>66</v>
      </c>
      <c r="D122" s="32" t="s">
        <v>74</v>
      </c>
      <c r="E122" s="36" t="s">
        <v>477</v>
      </c>
      <c r="F122" s="36">
        <f>_xlfn.XLOOKUP(B122,'A-3 Hourly Cost Calculation'!$B$7:$B$124,'A-3 Hourly Cost Calculation'!$Q$7:$Q$124,,0)</f>
        <v>33.84045908656968</v>
      </c>
      <c r="G122" s="36">
        <f t="shared" si="13"/>
        <v>33.84045908656968</v>
      </c>
      <c r="H122" s="61">
        <v>1957</v>
      </c>
      <c r="I122" s="60">
        <f t="shared" si="12"/>
        <v>66225.778432416861</v>
      </c>
      <c r="J122" s="118"/>
    </row>
    <row r="123" spans="1:10" x14ac:dyDescent="0.25">
      <c r="A123" s="43" t="s">
        <v>365</v>
      </c>
      <c r="B123" s="38" t="s">
        <v>202</v>
      </c>
      <c r="C123" s="32" t="s">
        <v>66</v>
      </c>
      <c r="D123" s="32" t="s">
        <v>74</v>
      </c>
      <c r="E123" s="36" t="s">
        <v>477</v>
      </c>
      <c r="F123" s="36">
        <f>_xlfn.XLOOKUP(B123,'A-3 Hourly Cost Calculation'!$B$7:$B$124,'A-3 Hourly Cost Calculation'!$Q$7:$Q$124,,0)</f>
        <v>20.080260883286854</v>
      </c>
      <c r="G123" s="36">
        <f t="shared" si="13"/>
        <v>20.080260883286854</v>
      </c>
      <c r="H123" s="61">
        <v>1095</v>
      </c>
      <c r="I123" s="60">
        <f t="shared" si="12"/>
        <v>21987.885667199105</v>
      </c>
      <c r="J123" s="118"/>
    </row>
    <row r="124" spans="1:10" x14ac:dyDescent="0.25">
      <c r="J124" s="118"/>
    </row>
    <row r="125" spans="1:10" x14ac:dyDescent="0.25">
      <c r="J125" s="118"/>
    </row>
    <row r="126" spans="1:10" x14ac:dyDescent="0.25">
      <c r="J126" s="118"/>
    </row>
    <row r="127" spans="1:10" x14ac:dyDescent="0.25">
      <c r="J127" s="118"/>
    </row>
    <row r="128" spans="1:10" x14ac:dyDescent="0.25">
      <c r="J128" s="118"/>
    </row>
    <row r="129" spans="10:10" x14ac:dyDescent="0.25">
      <c r="J129" s="118"/>
    </row>
    <row r="130" spans="10:10" x14ac:dyDescent="0.25">
      <c r="J130" s="118"/>
    </row>
    <row r="131" spans="10:10" x14ac:dyDescent="0.25">
      <c r="J131" s="118"/>
    </row>
  </sheetData>
  <autoFilter ref="A9:I123" xr:uid="{00000000-0001-0000-0400-000000000000}">
    <sortState xmlns:xlrd2="http://schemas.microsoft.com/office/spreadsheetml/2017/richdata2" ref="A10:I123">
      <sortCondition ref="C9:C123"/>
    </sortState>
  </autoFilter>
  <sortState xmlns:xlrd2="http://schemas.microsoft.com/office/spreadsheetml/2017/richdata2" ref="K10:K22">
    <sortCondition ref="K10:K22"/>
  </sortState>
  <phoneticPr fontId="14" type="noConversion"/>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workbookViewId="0">
      <selection activeCell="D15" sqref="D15"/>
    </sheetView>
  </sheetViews>
  <sheetFormatPr defaultRowHeight="15" x14ac:dyDescent="0.25"/>
  <cols>
    <col min="1" max="1" width="15.85546875" customWidth="1"/>
    <col min="2" max="2" width="32.7109375" customWidth="1"/>
    <col min="3" max="3" width="10.5703125" bestFit="1" customWidth="1"/>
    <col min="4" max="4" width="74.42578125" customWidth="1"/>
    <col min="5" max="9" width="12.28515625" customWidth="1"/>
    <col min="10" max="10" width="15.140625" customWidth="1"/>
    <col min="11" max="11" width="14.28515625" bestFit="1" customWidth="1"/>
  </cols>
  <sheetData>
    <row r="1" spans="1:13" x14ac:dyDescent="0.25">
      <c r="A1" s="24" t="str">
        <f>Cover!A1</f>
        <v>Utah Department of Health &amp; Human Services, Office of Reimbursement, Coordinated Care &amp; Audit</v>
      </c>
      <c r="B1" s="24"/>
      <c r="C1" s="24"/>
      <c r="D1" s="24"/>
      <c r="E1" s="24"/>
      <c r="F1" s="24"/>
      <c r="G1" s="24"/>
      <c r="H1" s="24"/>
      <c r="I1" s="24"/>
      <c r="J1" s="24"/>
    </row>
    <row r="2" spans="1:13" x14ac:dyDescent="0.25">
      <c r="A2" s="24" t="str">
        <f>Cover!A2</f>
        <v>Medicaid Rate Study</v>
      </c>
      <c r="B2" s="24"/>
      <c r="C2" s="24"/>
      <c r="D2" s="24"/>
      <c r="E2" s="24"/>
      <c r="F2" s="24"/>
      <c r="G2" s="24"/>
      <c r="H2" s="24"/>
      <c r="I2" s="24"/>
      <c r="J2" s="24"/>
    </row>
    <row r="3" spans="1:13" x14ac:dyDescent="0.25">
      <c r="A3" s="24" t="str">
        <f>Cover!A3&amp;"-4b"</f>
        <v>2025 Home and Community Based Services (HCBS) - Exhibit A-4b</v>
      </c>
      <c r="B3" s="24"/>
      <c r="C3" s="24"/>
      <c r="D3" s="24"/>
      <c r="E3" s="24"/>
      <c r="F3" s="24"/>
      <c r="G3" s="24"/>
      <c r="H3" s="24"/>
      <c r="I3" s="24"/>
      <c r="J3" s="24"/>
    </row>
    <row r="4" spans="1:13" x14ac:dyDescent="0.25">
      <c r="A4" t="s">
        <v>383</v>
      </c>
    </row>
    <row r="5" spans="1:13" x14ac:dyDescent="0.25">
      <c r="A5" t="s">
        <v>415</v>
      </c>
    </row>
    <row r="7" spans="1:13" s="5" customFormat="1" x14ac:dyDescent="0.25">
      <c r="B7"/>
      <c r="C7"/>
      <c r="D7"/>
      <c r="E7"/>
      <c r="F7"/>
      <c r="G7"/>
      <c r="H7"/>
      <c r="I7"/>
      <c r="J7"/>
    </row>
    <row r="8" spans="1:13" s="8" customFormat="1" ht="30" customHeight="1" x14ac:dyDescent="0.25">
      <c r="A8" s="188"/>
      <c r="B8" s="162"/>
      <c r="C8" s="162"/>
      <c r="D8" s="162"/>
      <c r="E8" s="162"/>
      <c r="F8" s="162"/>
      <c r="G8" s="162"/>
      <c r="H8" s="162"/>
      <c r="I8" s="39"/>
      <c r="J8" s="39"/>
    </row>
    <row r="9" spans="1:13" ht="45.75" thickBot="1" x14ac:dyDescent="0.3">
      <c r="A9" s="6" t="s">
        <v>364</v>
      </c>
      <c r="B9" s="6" t="s">
        <v>30</v>
      </c>
      <c r="C9" s="6" t="s">
        <v>371</v>
      </c>
      <c r="D9" s="6" t="s">
        <v>0</v>
      </c>
      <c r="E9" s="6" t="s">
        <v>373</v>
      </c>
      <c r="F9" s="6" t="s">
        <v>375</v>
      </c>
      <c r="G9" s="6" t="s">
        <v>380</v>
      </c>
      <c r="H9" s="35" t="s">
        <v>381</v>
      </c>
      <c r="I9" s="6" t="s">
        <v>382</v>
      </c>
      <c r="J9" s="6" t="s">
        <v>377</v>
      </c>
    </row>
    <row r="10" spans="1:13" s="72" customFormat="1" x14ac:dyDescent="0.25">
      <c r="A10" s="43" t="s">
        <v>365</v>
      </c>
      <c r="B10" s="43" t="s">
        <v>105</v>
      </c>
      <c r="C10" s="36" t="s">
        <v>51</v>
      </c>
      <c r="D10" s="36" t="s">
        <v>414</v>
      </c>
      <c r="E10" s="36" t="s">
        <v>231</v>
      </c>
      <c r="F10" s="36">
        <f>_xlfn.XLOOKUP(B10,'A-3 Hourly Cost Calculation'!$B$7:$B$124,'A-3 Hourly Cost Calculation'!$Q$7:$Q$124,,0)</f>
        <v>8.6208823774139276</v>
      </c>
      <c r="G10" s="119">
        <v>24</v>
      </c>
      <c r="H10" s="36">
        <f t="shared" ref="H10:H34" si="0">F10*G10</f>
        <v>206.90117705793426</v>
      </c>
      <c r="I10" s="61">
        <v>124</v>
      </c>
      <c r="J10" s="60">
        <f t="shared" ref="J10:J34" si="1">H10*I10</f>
        <v>25655.745955183847</v>
      </c>
      <c r="K10" s="118"/>
      <c r="L10" s="32" t="s">
        <v>62</v>
      </c>
      <c r="M10" s="72">
        <f>AVERAGEIF($C$10:$C$42,L10,$H$10:$H$42)</f>
        <v>60.558282025045187</v>
      </c>
    </row>
    <row r="11" spans="1:13" x14ac:dyDescent="0.25">
      <c r="A11" s="43" t="s">
        <v>365</v>
      </c>
      <c r="B11" s="38" t="s">
        <v>118</v>
      </c>
      <c r="C11" s="32" t="s">
        <v>51</v>
      </c>
      <c r="D11" s="36" t="s">
        <v>414</v>
      </c>
      <c r="E11" s="36" t="s">
        <v>231</v>
      </c>
      <c r="F11" s="36">
        <f>_xlfn.XLOOKUP(B11,'A-3 Hourly Cost Calculation'!$B$7:$B$124,'A-3 Hourly Cost Calculation'!$Q$7:$Q$124,,0)</f>
        <v>40.302246113461095</v>
      </c>
      <c r="G11" s="119">
        <v>20</v>
      </c>
      <c r="H11" s="36">
        <f t="shared" si="0"/>
        <v>806.04492226922184</v>
      </c>
      <c r="I11" s="61">
        <v>201</v>
      </c>
      <c r="J11" s="60">
        <f t="shared" si="1"/>
        <v>162015.02937611358</v>
      </c>
      <c r="L11" s="32" t="s">
        <v>52</v>
      </c>
      <c r="M11" s="72">
        <f>AVERAGEIF($C$10:$C$42,L11,$H$10:$H$42)</f>
        <v>162.21472678530768</v>
      </c>
    </row>
    <row r="12" spans="1:13" x14ac:dyDescent="0.25">
      <c r="A12" s="43" t="s">
        <v>365</v>
      </c>
      <c r="B12" s="38" t="s">
        <v>172</v>
      </c>
      <c r="C12" s="32" t="s">
        <v>51</v>
      </c>
      <c r="D12" s="36" t="s">
        <v>414</v>
      </c>
      <c r="E12" s="36" t="s">
        <v>231</v>
      </c>
      <c r="F12" s="36">
        <f>_xlfn.XLOOKUP(B12,'A-3 Hourly Cost Calculation'!$B$7:$B$124,'A-3 Hourly Cost Calculation'!$Q$7:$Q$124,,0)</f>
        <v>32.883493735221059</v>
      </c>
      <c r="G12" s="119">
        <v>12</v>
      </c>
      <c r="H12" s="36">
        <f t="shared" si="0"/>
        <v>394.60192482265268</v>
      </c>
      <c r="I12" s="61">
        <v>101</v>
      </c>
      <c r="J12" s="60">
        <f t="shared" si="1"/>
        <v>39854.794407087924</v>
      </c>
      <c r="L12" s="32" t="s">
        <v>51</v>
      </c>
      <c r="M12" s="72">
        <f>AVERAGEIF($C$10:$C$42,L12,$H$10:$H$42)</f>
        <v>473.2999073623526</v>
      </c>
    </row>
    <row r="13" spans="1:13" x14ac:dyDescent="0.25">
      <c r="A13" s="43" t="s">
        <v>365</v>
      </c>
      <c r="B13" s="38" t="s">
        <v>188</v>
      </c>
      <c r="C13" s="32" t="s">
        <v>51</v>
      </c>
      <c r="D13" s="36" t="s">
        <v>414</v>
      </c>
      <c r="E13" s="36" t="s">
        <v>231</v>
      </c>
      <c r="F13" s="36">
        <f>_xlfn.XLOOKUP(B13,'A-3 Hourly Cost Calculation'!$B$7:$B$124,'A-3 Hourly Cost Calculation'!$Q$7:$Q$124,,0)</f>
        <v>25.907396168015232</v>
      </c>
      <c r="G13" s="119">
        <v>24</v>
      </c>
      <c r="H13" s="36">
        <f t="shared" si="0"/>
        <v>621.77750803236563</v>
      </c>
      <c r="I13" s="61">
        <v>21</v>
      </c>
      <c r="J13" s="60">
        <f t="shared" si="1"/>
        <v>13057.327668679678</v>
      </c>
      <c r="L13" s="32"/>
    </row>
    <row r="14" spans="1:13" x14ac:dyDescent="0.25">
      <c r="A14" s="43" t="s">
        <v>365</v>
      </c>
      <c r="B14" s="38" t="s">
        <v>190</v>
      </c>
      <c r="C14" s="32" t="s">
        <v>51</v>
      </c>
      <c r="D14" s="36" t="s">
        <v>414</v>
      </c>
      <c r="E14" s="36" t="s">
        <v>231</v>
      </c>
      <c r="F14" s="36">
        <f>_xlfn.XLOOKUP(B14,'A-3 Hourly Cost Calculation'!$B$7:$B$124,'A-3 Hourly Cost Calculation'!$Q$7:$Q$124,,0)</f>
        <v>16</v>
      </c>
      <c r="G14" s="119">
        <v>12</v>
      </c>
      <c r="H14" s="36">
        <f t="shared" si="0"/>
        <v>192</v>
      </c>
      <c r="I14" s="61">
        <v>48</v>
      </c>
      <c r="J14" s="60">
        <f t="shared" si="1"/>
        <v>9216</v>
      </c>
    </row>
    <row r="15" spans="1:13" x14ac:dyDescent="0.25">
      <c r="A15" s="43" t="s">
        <v>365</v>
      </c>
      <c r="B15" s="38" t="s">
        <v>191</v>
      </c>
      <c r="C15" s="32" t="s">
        <v>51</v>
      </c>
      <c r="D15" s="36" t="s">
        <v>414</v>
      </c>
      <c r="E15" s="36" t="s">
        <v>231</v>
      </c>
      <c r="F15" s="36">
        <f>_xlfn.XLOOKUP(B15,'A-3 Hourly Cost Calculation'!$B$7:$B$124,'A-3 Hourly Cost Calculation'!$Q$7:$Q$124,,0)</f>
        <v>40.060538592573423</v>
      </c>
      <c r="G15" s="119">
        <v>24</v>
      </c>
      <c r="H15" s="36">
        <f t="shared" si="0"/>
        <v>961.45292622176214</v>
      </c>
      <c r="I15" s="61">
        <v>28</v>
      </c>
      <c r="J15" s="60">
        <f t="shared" si="1"/>
        <v>26920.68193420934</v>
      </c>
    </row>
    <row r="16" spans="1:13" x14ac:dyDescent="0.25">
      <c r="A16" s="43" t="s">
        <v>365</v>
      </c>
      <c r="B16" s="38" t="s">
        <v>202</v>
      </c>
      <c r="C16" s="32" t="s">
        <v>51</v>
      </c>
      <c r="D16" s="36" t="s">
        <v>414</v>
      </c>
      <c r="E16" s="36" t="s">
        <v>231</v>
      </c>
      <c r="F16" s="36">
        <f>_xlfn.XLOOKUP(B16,'A-3 Hourly Cost Calculation'!$B$7:$B$124,'A-3 Hourly Cost Calculation'!$Q$7:$Q$124,,0)</f>
        <v>20.080260883286854</v>
      </c>
      <c r="G16" s="119">
        <v>6.49</v>
      </c>
      <c r="H16" s="36">
        <f t="shared" si="0"/>
        <v>130.32089313253169</v>
      </c>
      <c r="I16" s="61">
        <v>125</v>
      </c>
      <c r="J16" s="60">
        <f t="shared" si="1"/>
        <v>16290.111641566462</v>
      </c>
    </row>
    <row r="17" spans="1:10" x14ac:dyDescent="0.25">
      <c r="A17" s="43" t="s">
        <v>365</v>
      </c>
      <c r="B17" s="38" t="s">
        <v>76</v>
      </c>
      <c r="C17" s="32" t="s">
        <v>52</v>
      </c>
      <c r="D17" s="32" t="s">
        <v>378</v>
      </c>
      <c r="E17" s="36" t="s">
        <v>231</v>
      </c>
      <c r="F17" s="36">
        <f>_xlfn.XLOOKUP(B17,'A-3 Hourly Cost Calculation'!$B$7:$B$124,'A-3 Hourly Cost Calculation'!$Q$7:$Q$124,,0)</f>
        <v>40.14115265163403</v>
      </c>
      <c r="G17" s="119">
        <v>2.5</v>
      </c>
      <c r="H17" s="36">
        <f t="shared" si="0"/>
        <v>100.35288162908508</v>
      </c>
      <c r="I17" s="61">
        <v>16366</v>
      </c>
      <c r="J17" s="60">
        <f t="shared" si="1"/>
        <v>1642375.2607416064</v>
      </c>
    </row>
    <row r="18" spans="1:10" x14ac:dyDescent="0.25">
      <c r="A18" s="43" t="s">
        <v>365</v>
      </c>
      <c r="B18" s="38" t="s">
        <v>93</v>
      </c>
      <c r="C18" s="32" t="s">
        <v>52</v>
      </c>
      <c r="D18" s="32" t="s">
        <v>378</v>
      </c>
      <c r="E18" s="36" t="s">
        <v>231</v>
      </c>
      <c r="F18" s="36">
        <f>_xlfn.XLOOKUP(B18,'A-3 Hourly Cost Calculation'!$B$7:$B$124,'A-3 Hourly Cost Calculation'!$Q$7:$Q$124,,0)</f>
        <v>38.88504734343708</v>
      </c>
      <c r="G18" s="119">
        <v>6</v>
      </c>
      <c r="H18" s="36">
        <f t="shared" si="0"/>
        <v>233.31028406062248</v>
      </c>
      <c r="I18" s="61">
        <v>66359</v>
      </c>
      <c r="J18" s="60">
        <f t="shared" si="1"/>
        <v>15482237.139978847</v>
      </c>
    </row>
    <row r="19" spans="1:10" x14ac:dyDescent="0.25">
      <c r="A19" s="43" t="s">
        <v>365</v>
      </c>
      <c r="B19" s="38" t="s">
        <v>118</v>
      </c>
      <c r="C19" s="32" t="s">
        <v>52</v>
      </c>
      <c r="D19" s="32" t="s">
        <v>378</v>
      </c>
      <c r="E19" s="36" t="s">
        <v>231</v>
      </c>
      <c r="F19" s="36">
        <f>_xlfn.XLOOKUP(B19,'A-3 Hourly Cost Calculation'!$B$7:$B$124,'A-3 Hourly Cost Calculation'!$Q$7:$Q$124,,0)</f>
        <v>40.302246113461095</v>
      </c>
      <c r="G19" s="119">
        <v>6</v>
      </c>
      <c r="H19" s="36">
        <f t="shared" si="0"/>
        <v>241.81347668076657</v>
      </c>
      <c r="I19" s="61">
        <v>31269</v>
      </c>
      <c r="J19" s="60">
        <f t="shared" si="1"/>
        <v>7561265.6023308896</v>
      </c>
    </row>
    <row r="20" spans="1:10" s="2" customFormat="1" x14ac:dyDescent="0.25">
      <c r="A20" s="43" t="s">
        <v>365</v>
      </c>
      <c r="B20" s="38" t="s">
        <v>135</v>
      </c>
      <c r="C20" s="32" t="s">
        <v>52</v>
      </c>
      <c r="D20" s="32" t="s">
        <v>378</v>
      </c>
      <c r="E20" s="36" t="s">
        <v>231</v>
      </c>
      <c r="F20" s="36">
        <f>_xlfn.XLOOKUP(B20,'A-3 Hourly Cost Calculation'!$B$7:$B$124,'A-3 Hourly Cost Calculation'!$Q$7:$Q$124,,0)</f>
        <v>20.399999999999999</v>
      </c>
      <c r="G20" s="119">
        <v>5</v>
      </c>
      <c r="H20" s="36">
        <f t="shared" si="0"/>
        <v>102</v>
      </c>
      <c r="I20" s="61">
        <v>529</v>
      </c>
      <c r="J20" s="60">
        <f t="shared" si="1"/>
        <v>53958</v>
      </c>
    </row>
    <row r="21" spans="1:10" x14ac:dyDescent="0.25">
      <c r="A21" s="43" t="s">
        <v>365</v>
      </c>
      <c r="B21" s="38" t="s">
        <v>162</v>
      </c>
      <c r="C21" s="32" t="s">
        <v>52</v>
      </c>
      <c r="D21" s="32" t="s">
        <v>378</v>
      </c>
      <c r="E21" s="36" t="s">
        <v>231</v>
      </c>
      <c r="F21" s="36">
        <f>_xlfn.XLOOKUP(B21,'A-3 Hourly Cost Calculation'!$B$7:$B$124,'A-3 Hourly Cost Calculation'!$Q$7:$Q$124,,0)</f>
        <v>45.70365797912855</v>
      </c>
      <c r="G21" s="119">
        <v>0.25</v>
      </c>
      <c r="H21" s="36">
        <f t="shared" si="0"/>
        <v>11.425914494782138</v>
      </c>
      <c r="I21" s="61">
        <v>21995</v>
      </c>
      <c r="J21" s="60">
        <f t="shared" si="1"/>
        <v>251312.98931273312</v>
      </c>
    </row>
    <row r="22" spans="1:10" x14ac:dyDescent="0.25">
      <c r="A22" s="43" t="s">
        <v>365</v>
      </c>
      <c r="B22" s="38" t="s">
        <v>165</v>
      </c>
      <c r="C22" s="32" t="s">
        <v>52</v>
      </c>
      <c r="D22" s="32" t="s">
        <v>378</v>
      </c>
      <c r="E22" s="36" t="s">
        <v>231</v>
      </c>
      <c r="F22" s="36">
        <f>_xlfn.XLOOKUP(B22,'A-3 Hourly Cost Calculation'!$B$7:$B$124,'A-3 Hourly Cost Calculation'!$Q$7:$Q$124,,0)</f>
        <v>22.816590622062037</v>
      </c>
      <c r="G22" s="119">
        <v>6</v>
      </c>
      <c r="H22" s="36">
        <f t="shared" si="0"/>
        <v>136.89954373237222</v>
      </c>
      <c r="I22" s="61">
        <v>2096</v>
      </c>
      <c r="J22" s="60">
        <f t="shared" si="1"/>
        <v>286941.44366305217</v>
      </c>
    </row>
    <row r="23" spans="1:10" x14ac:dyDescent="0.25">
      <c r="A23" s="43" t="s">
        <v>365</v>
      </c>
      <c r="B23" s="38" t="s">
        <v>167</v>
      </c>
      <c r="C23" s="32" t="s">
        <v>52</v>
      </c>
      <c r="D23" s="32" t="s">
        <v>378</v>
      </c>
      <c r="E23" s="36" t="s">
        <v>231</v>
      </c>
      <c r="F23" s="36">
        <f>_xlfn.XLOOKUP(B23,'A-3 Hourly Cost Calculation'!$B$7:$B$124,'A-3 Hourly Cost Calculation'!$Q$7:$Q$124,,0)</f>
        <v>28.163107963954918</v>
      </c>
      <c r="G23" s="119">
        <v>6</v>
      </c>
      <c r="H23" s="36">
        <f t="shared" si="0"/>
        <v>168.97864778372951</v>
      </c>
      <c r="I23" s="61">
        <v>601</v>
      </c>
      <c r="J23" s="60">
        <f t="shared" si="1"/>
        <v>101556.16731802144</v>
      </c>
    </row>
    <row r="24" spans="1:10" x14ac:dyDescent="0.25">
      <c r="A24" s="43" t="s">
        <v>365</v>
      </c>
      <c r="B24" s="38" t="s">
        <v>183</v>
      </c>
      <c r="C24" s="32" t="s">
        <v>52</v>
      </c>
      <c r="D24" s="32" t="s">
        <v>378</v>
      </c>
      <c r="E24" s="36" t="s">
        <v>231</v>
      </c>
      <c r="F24" s="36">
        <f>_xlfn.XLOOKUP(B24,'A-3 Hourly Cost Calculation'!$B$7:$B$124,'A-3 Hourly Cost Calculation'!$Q$7:$Q$124,,0)</f>
        <v>28.176418447076099</v>
      </c>
      <c r="G24" s="119">
        <v>6</v>
      </c>
      <c r="H24" s="36">
        <f t="shared" si="0"/>
        <v>169.05851068245659</v>
      </c>
      <c r="I24" s="61">
        <v>7250</v>
      </c>
      <c r="J24" s="60">
        <f t="shared" si="1"/>
        <v>1225674.2024478102</v>
      </c>
    </row>
    <row r="25" spans="1:10" x14ac:dyDescent="0.25">
      <c r="A25" s="43" t="s">
        <v>365</v>
      </c>
      <c r="B25" s="38" t="s">
        <v>189</v>
      </c>
      <c r="C25" s="32" t="s">
        <v>52</v>
      </c>
      <c r="D25" s="32" t="s">
        <v>378</v>
      </c>
      <c r="E25" s="36" t="s">
        <v>231</v>
      </c>
      <c r="F25" s="36">
        <f>_xlfn.XLOOKUP(B25,'A-3 Hourly Cost Calculation'!$B$7:$B$124,'A-3 Hourly Cost Calculation'!$Q$7:$Q$124,,0)</f>
        <v>43.795655285995309</v>
      </c>
      <c r="G25" s="119">
        <v>0.25</v>
      </c>
      <c r="H25" s="36">
        <f t="shared" si="0"/>
        <v>10.948913821498827</v>
      </c>
      <c r="I25" s="61">
        <v>194691</v>
      </c>
      <c r="J25" s="60">
        <f t="shared" si="1"/>
        <v>2131654.9808214284</v>
      </c>
    </row>
    <row r="26" spans="1:10" x14ac:dyDescent="0.25">
      <c r="A26" s="43" t="s">
        <v>365</v>
      </c>
      <c r="B26" s="38" t="s">
        <v>199</v>
      </c>
      <c r="C26" s="32" t="s">
        <v>52</v>
      </c>
      <c r="D26" s="32" t="s">
        <v>378</v>
      </c>
      <c r="E26" s="36" t="s">
        <v>231</v>
      </c>
      <c r="F26" s="36">
        <f>_xlfn.XLOOKUP(B26,'A-3 Hourly Cost Calculation'!$B$7:$B$124,'A-3 Hourly Cost Calculation'!$Q$7:$Q$124,,0)</f>
        <v>44.557285450552214</v>
      </c>
      <c r="G26" s="119">
        <v>6</v>
      </c>
      <c r="H26" s="36">
        <f t="shared" si="0"/>
        <v>267.34371270331326</v>
      </c>
      <c r="I26" s="61">
        <v>29805.360000000001</v>
      </c>
      <c r="J26" s="60">
        <f t="shared" si="1"/>
        <v>7968275.6008588253</v>
      </c>
    </row>
    <row r="27" spans="1:10" x14ac:dyDescent="0.25">
      <c r="A27" s="43" t="s">
        <v>365</v>
      </c>
      <c r="B27" s="38" t="s">
        <v>205</v>
      </c>
      <c r="C27" s="32" t="s">
        <v>52</v>
      </c>
      <c r="D27" s="32" t="s">
        <v>378</v>
      </c>
      <c r="E27" s="36" t="s">
        <v>231</v>
      </c>
      <c r="F27" s="36">
        <f>_xlfn.XLOOKUP(B27,'A-3 Hourly Cost Calculation'!$B$7:$B$124,'A-3 Hourly Cost Calculation'!$Q$7:$Q$124,,0)</f>
        <v>58.301551797233017</v>
      </c>
      <c r="G27" s="119">
        <v>5.87</v>
      </c>
      <c r="H27" s="36">
        <f t="shared" si="0"/>
        <v>342.2301090497578</v>
      </c>
      <c r="I27" s="61">
        <v>5926</v>
      </c>
      <c r="J27" s="60">
        <f t="shared" si="1"/>
        <v>2028055.6262288648</v>
      </c>
    </row>
    <row r="28" spans="1:10" x14ac:dyDescent="0.25">
      <c r="A28" s="43" t="s">
        <v>365</v>
      </c>
      <c r="B28" s="38" t="s">
        <v>76</v>
      </c>
      <c r="C28" s="32" t="s">
        <v>62</v>
      </c>
      <c r="D28" s="32" t="s">
        <v>379</v>
      </c>
      <c r="E28" s="36" t="s">
        <v>233</v>
      </c>
      <c r="F28" s="36">
        <f>_xlfn.XLOOKUP(B28,'A-3 Hourly Cost Calculation'!$B$7:$B$124,'A-3 Hourly Cost Calculation'!$Q$7:$Q$124,,0)</f>
        <v>40.14115265163403</v>
      </c>
      <c r="G28" s="119">
        <v>2.38</v>
      </c>
      <c r="H28" s="36">
        <f t="shared" si="0"/>
        <v>95.535943310888982</v>
      </c>
      <c r="I28" s="61">
        <v>4070</v>
      </c>
      <c r="J28" s="60">
        <f t="shared" si="1"/>
        <v>388831.28927531815</v>
      </c>
    </row>
    <row r="29" spans="1:10" x14ac:dyDescent="0.25">
      <c r="A29" s="43" t="s">
        <v>365</v>
      </c>
      <c r="B29" s="38" t="s">
        <v>80</v>
      </c>
      <c r="C29" s="32" t="s">
        <v>62</v>
      </c>
      <c r="D29" s="32" t="s">
        <v>379</v>
      </c>
      <c r="E29" s="36" t="s">
        <v>233</v>
      </c>
      <c r="F29" s="36">
        <f>_xlfn.XLOOKUP(B29,'A-3 Hourly Cost Calculation'!$B$7:$B$124,'A-3 Hourly Cost Calculation'!$Q$7:$Q$124,,0)</f>
        <v>56.457982619614192</v>
      </c>
      <c r="G29" s="119">
        <v>1.25</v>
      </c>
      <c r="H29" s="36">
        <f t="shared" si="0"/>
        <v>70.572478274517735</v>
      </c>
      <c r="I29" s="61">
        <v>28284</v>
      </c>
      <c r="J29" s="60">
        <f t="shared" si="1"/>
        <v>1996071.9755164597</v>
      </c>
    </row>
    <row r="30" spans="1:10" x14ac:dyDescent="0.25">
      <c r="A30" s="43" t="s">
        <v>365</v>
      </c>
      <c r="B30" s="38" t="s">
        <v>113</v>
      </c>
      <c r="C30" s="32" t="s">
        <v>62</v>
      </c>
      <c r="D30" s="32" t="s">
        <v>379</v>
      </c>
      <c r="E30" s="36" t="s">
        <v>233</v>
      </c>
      <c r="F30" s="36">
        <f>_xlfn.XLOOKUP(B30,'A-3 Hourly Cost Calculation'!$B$7:$B$124,'A-3 Hourly Cost Calculation'!$Q$7:$Q$124,,0)</f>
        <v>42.366041392672628</v>
      </c>
      <c r="G30" s="119">
        <v>1</v>
      </c>
      <c r="H30" s="36">
        <f t="shared" si="0"/>
        <v>42.366041392672628</v>
      </c>
      <c r="I30" s="61">
        <v>7518</v>
      </c>
      <c r="J30" s="60">
        <f t="shared" si="1"/>
        <v>318507.89919011283</v>
      </c>
    </row>
    <row r="31" spans="1:10" x14ac:dyDescent="0.25">
      <c r="A31" s="43" t="s">
        <v>365</v>
      </c>
      <c r="B31" s="38" t="s">
        <v>114</v>
      </c>
      <c r="C31" s="32" t="s">
        <v>62</v>
      </c>
      <c r="D31" s="32" t="s">
        <v>379</v>
      </c>
      <c r="E31" s="36" t="s">
        <v>233</v>
      </c>
      <c r="F31" s="36">
        <f>_xlfn.XLOOKUP(B31,'A-3 Hourly Cost Calculation'!$B$7:$B$124,'A-3 Hourly Cost Calculation'!$Q$7:$Q$124,,0)</f>
        <v>117.79734584413018</v>
      </c>
      <c r="G31" s="119">
        <v>1.5333333333333334</v>
      </c>
      <c r="H31" s="36">
        <f t="shared" si="0"/>
        <v>180.62259696099963</v>
      </c>
      <c r="I31" s="61">
        <v>21636</v>
      </c>
      <c r="J31" s="60">
        <f t="shared" si="1"/>
        <v>3907950.5078481878</v>
      </c>
    </row>
    <row r="32" spans="1:10" x14ac:dyDescent="0.25">
      <c r="A32" s="43" t="s">
        <v>365</v>
      </c>
      <c r="B32" s="38" t="s">
        <v>157</v>
      </c>
      <c r="C32" s="32" t="s">
        <v>62</v>
      </c>
      <c r="D32" s="32" t="s">
        <v>379</v>
      </c>
      <c r="E32" s="36" t="s">
        <v>233</v>
      </c>
      <c r="F32" s="36">
        <f>_xlfn.XLOOKUP(B32,'A-3 Hourly Cost Calculation'!$B$7:$B$124,'A-3 Hourly Cost Calculation'!$Q$7:$Q$124,,0)</f>
        <v>69.469469984809521</v>
      </c>
      <c r="G32" s="119">
        <v>1.0033333333333334</v>
      </c>
      <c r="H32" s="36">
        <f t="shared" si="0"/>
        <v>69.701034884758897</v>
      </c>
      <c r="I32" s="61">
        <v>1865</v>
      </c>
      <c r="J32" s="60">
        <f t="shared" si="1"/>
        <v>129992.43006007535</v>
      </c>
    </row>
    <row r="33" spans="1:10" x14ac:dyDescent="0.25">
      <c r="A33" s="43" t="s">
        <v>365</v>
      </c>
      <c r="B33" s="38" t="s">
        <v>159</v>
      </c>
      <c r="C33" s="32" t="s">
        <v>62</v>
      </c>
      <c r="D33" s="32" t="s">
        <v>379</v>
      </c>
      <c r="E33" s="36" t="s">
        <v>233</v>
      </c>
      <c r="F33" s="36">
        <f>_xlfn.XLOOKUP(B33,'A-3 Hourly Cost Calculation'!$B$7:$B$124,'A-3 Hourly Cost Calculation'!$Q$7:$Q$124,,0)</f>
        <v>85.335612768114402</v>
      </c>
      <c r="G33" s="119">
        <v>1.1000000000000001</v>
      </c>
      <c r="H33" s="36">
        <f t="shared" si="0"/>
        <v>93.869174044925856</v>
      </c>
      <c r="I33" s="61">
        <v>4241</v>
      </c>
      <c r="J33" s="60">
        <f t="shared" si="1"/>
        <v>398099.16712453053</v>
      </c>
    </row>
    <row r="34" spans="1:10" x14ac:dyDescent="0.25">
      <c r="A34" s="43" t="s">
        <v>365</v>
      </c>
      <c r="B34" s="38" t="s">
        <v>177</v>
      </c>
      <c r="C34" s="32" t="s">
        <v>62</v>
      </c>
      <c r="D34" s="32" t="s">
        <v>379</v>
      </c>
      <c r="E34" s="36" t="s">
        <v>233</v>
      </c>
      <c r="F34" s="36">
        <f>_xlfn.XLOOKUP(B34,'A-3 Hourly Cost Calculation'!$B$7:$B$124,'A-3 Hourly Cost Calculation'!$Q$7:$Q$124,,0)</f>
        <v>68.738345690175436</v>
      </c>
      <c r="G34" s="119">
        <v>0.77666666666666673</v>
      </c>
      <c r="H34" s="36">
        <f t="shared" si="0"/>
        <v>53.386781819369595</v>
      </c>
      <c r="I34" s="61">
        <v>3</v>
      </c>
      <c r="J34" s="60">
        <f t="shared" si="1"/>
        <v>160.16034545810879</v>
      </c>
    </row>
    <row r="35" spans="1:10" ht="15.75" thickBot="1" x14ac:dyDescent="0.3">
      <c r="A35" s="43" t="s">
        <v>460</v>
      </c>
      <c r="B35" s="38" t="s">
        <v>432</v>
      </c>
      <c r="C35" s="32" t="s">
        <v>62</v>
      </c>
      <c r="D35" s="32" t="s">
        <v>379</v>
      </c>
      <c r="E35" s="36" t="s">
        <v>231</v>
      </c>
      <c r="F35" s="126"/>
      <c r="G35" s="128"/>
      <c r="H35" s="36">
        <v>39.584983430540703</v>
      </c>
      <c r="I35" s="126"/>
      <c r="J35" s="126"/>
    </row>
    <row r="36" spans="1:10" ht="15.75" thickBot="1" x14ac:dyDescent="0.3">
      <c r="A36" s="43" t="s">
        <v>460</v>
      </c>
      <c r="B36" s="38" t="s">
        <v>426</v>
      </c>
      <c r="C36" s="32" t="s">
        <v>62</v>
      </c>
      <c r="D36" s="32" t="s">
        <v>379</v>
      </c>
      <c r="E36" s="36" t="s">
        <v>231</v>
      </c>
      <c r="F36" s="126"/>
      <c r="G36" s="128"/>
      <c r="H36" s="36">
        <v>14.37767943620503</v>
      </c>
      <c r="I36" s="126"/>
      <c r="J36" s="126"/>
    </row>
    <row r="37" spans="1:10" ht="15.75" thickBot="1" x14ac:dyDescent="0.3">
      <c r="A37" s="43" t="s">
        <v>460</v>
      </c>
      <c r="B37" s="38" t="s">
        <v>428</v>
      </c>
      <c r="C37" s="32" t="s">
        <v>62</v>
      </c>
      <c r="D37" s="32" t="s">
        <v>379</v>
      </c>
      <c r="E37" s="36" t="s">
        <v>231</v>
      </c>
      <c r="F37" s="126"/>
      <c r="G37" s="128"/>
      <c r="H37" s="36">
        <v>32.810627461811812</v>
      </c>
      <c r="I37" s="126"/>
      <c r="J37" s="126"/>
    </row>
    <row r="38" spans="1:10" ht="15.75" thickBot="1" x14ac:dyDescent="0.3">
      <c r="A38" s="43" t="s">
        <v>460</v>
      </c>
      <c r="B38" s="38" t="s">
        <v>435</v>
      </c>
      <c r="C38" s="32" t="s">
        <v>62</v>
      </c>
      <c r="D38" s="32" t="s">
        <v>379</v>
      </c>
      <c r="E38" s="36" t="s">
        <v>231</v>
      </c>
      <c r="F38" s="126"/>
      <c r="G38" s="128"/>
      <c r="H38" s="36">
        <v>37.14343972453608</v>
      </c>
      <c r="I38" s="126"/>
      <c r="J38" s="126"/>
    </row>
    <row r="39" spans="1:10" ht="15.75" thickBot="1" x14ac:dyDescent="0.3">
      <c r="A39" s="43" t="s">
        <v>460</v>
      </c>
      <c r="B39" s="38" t="s">
        <v>436</v>
      </c>
      <c r="C39" s="32" t="s">
        <v>62</v>
      </c>
      <c r="D39" s="32" t="s">
        <v>379</v>
      </c>
      <c r="E39" s="36" t="s">
        <v>231</v>
      </c>
      <c r="F39" s="126"/>
      <c r="G39" s="128"/>
      <c r="H39" s="36">
        <v>45.079363651486034</v>
      </c>
      <c r="I39" s="126"/>
      <c r="J39" s="126"/>
    </row>
    <row r="40" spans="1:10" ht="15.75" thickBot="1" x14ac:dyDescent="0.3">
      <c r="A40" s="43" t="s">
        <v>460</v>
      </c>
      <c r="B40" s="38" t="s">
        <v>430</v>
      </c>
      <c r="C40" s="32" t="s">
        <v>62</v>
      </c>
      <c r="D40" s="32" t="s">
        <v>379</v>
      </c>
      <c r="E40" s="36" t="s">
        <v>231</v>
      </c>
      <c r="F40" s="126"/>
      <c r="G40" s="128"/>
      <c r="H40" s="36">
        <v>46.281010130034133</v>
      </c>
      <c r="I40" s="126"/>
      <c r="J40" s="126"/>
    </row>
    <row r="41" spans="1:10" ht="15.75" thickBot="1" x14ac:dyDescent="0.3">
      <c r="A41" s="43" t="s">
        <v>460</v>
      </c>
      <c r="B41" s="38" t="s">
        <v>437</v>
      </c>
      <c r="C41" s="32" t="s">
        <v>62</v>
      </c>
      <c r="D41" s="32" t="s">
        <v>379</v>
      </c>
      <c r="E41" s="36" t="s">
        <v>231</v>
      </c>
      <c r="F41" s="126"/>
      <c r="G41" s="128"/>
      <c r="H41" s="36">
        <v>44.729912116603394</v>
      </c>
      <c r="I41" s="126"/>
      <c r="J41" s="126"/>
    </row>
    <row r="42" spans="1:10" ht="15.75" thickBot="1" x14ac:dyDescent="0.3">
      <c r="A42" s="43" t="s">
        <v>460</v>
      </c>
      <c r="B42" s="38" t="s">
        <v>429</v>
      </c>
      <c r="C42" s="32" t="s">
        <v>62</v>
      </c>
      <c r="D42" s="32" t="s">
        <v>379</v>
      </c>
      <c r="E42" s="36" t="s">
        <v>231</v>
      </c>
      <c r="F42" s="126"/>
      <c r="G42" s="128"/>
      <c r="H42" s="36">
        <v>42.313163736327354</v>
      </c>
      <c r="I42" s="126"/>
      <c r="J42" s="126"/>
    </row>
    <row r="44" spans="1:10" x14ac:dyDescent="0.25">
      <c r="A44" t="s">
        <v>438</v>
      </c>
    </row>
    <row r="46" spans="1:10" x14ac:dyDescent="0.25">
      <c r="A46" t="s">
        <v>455</v>
      </c>
    </row>
    <row r="47" spans="1:10" ht="45.75" thickBot="1" x14ac:dyDescent="0.3">
      <c r="A47" s="6" t="s">
        <v>30</v>
      </c>
      <c r="B47" s="6" t="s">
        <v>371</v>
      </c>
      <c r="C47" s="6" t="s">
        <v>0</v>
      </c>
      <c r="D47" s="6" t="s">
        <v>373</v>
      </c>
      <c r="E47" s="6" t="s">
        <v>375</v>
      </c>
      <c r="F47" s="6" t="s">
        <v>380</v>
      </c>
      <c r="G47" s="35" t="s">
        <v>381</v>
      </c>
      <c r="H47" s="6" t="s">
        <v>382</v>
      </c>
      <c r="I47" s="6" t="s">
        <v>377</v>
      </c>
    </row>
    <row r="48" spans="1:10" x14ac:dyDescent="0.25">
      <c r="A48" s="38" t="s">
        <v>141</v>
      </c>
      <c r="B48" s="32" t="s">
        <v>51</v>
      </c>
      <c r="C48" s="32" t="s">
        <v>414</v>
      </c>
      <c r="D48" s="36" t="s">
        <v>231</v>
      </c>
      <c r="E48" s="36">
        <f>_xlfn.XLOOKUP(A48,'A-3 Hourly Cost Calculation'!$B$7:$B$124,'A-3 Hourly Cost Calculation'!$Q$7:$Q$124,,0)</f>
        <v>65.405547543307208</v>
      </c>
      <c r="F48" s="119">
        <v>24</v>
      </c>
      <c r="G48" s="36">
        <f t="shared" ref="G48" si="2">E48*F48</f>
        <v>1569.7331410393731</v>
      </c>
      <c r="H48" s="61">
        <v>15</v>
      </c>
      <c r="I48" s="60">
        <f t="shared" ref="I48" si="3">G48*H48</f>
        <v>23545.997115590595</v>
      </c>
    </row>
    <row r="50" spans="1:1" x14ac:dyDescent="0.25">
      <c r="A50" t="s">
        <v>461</v>
      </c>
    </row>
  </sheetData>
  <autoFilter ref="B9:J42" xr:uid="{00000000-0009-0000-0000-000005000000}">
    <sortState xmlns:xlrd2="http://schemas.microsoft.com/office/spreadsheetml/2017/richdata2" ref="B10:J42">
      <sortCondition ref="C9:C42"/>
    </sortState>
  </autoFilter>
  <phoneticPr fontId="14" type="noConversion"/>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workbookViewId="0">
      <selection activeCell="D20" sqref="D20"/>
    </sheetView>
  </sheetViews>
  <sheetFormatPr defaultRowHeight="15" x14ac:dyDescent="0.25"/>
  <cols>
    <col min="1" max="1" width="15.28515625" customWidth="1"/>
    <col min="2" max="2" width="32.7109375" customWidth="1"/>
    <col min="3" max="3" width="10.5703125" bestFit="1" customWidth="1"/>
    <col min="4" max="4" width="27.7109375" bestFit="1" customWidth="1"/>
    <col min="5" max="5" width="14.85546875" customWidth="1"/>
    <col min="6" max="9" width="12.28515625" customWidth="1"/>
    <col min="10" max="10" width="15.140625" customWidth="1"/>
    <col min="11" max="11" width="14.28515625" bestFit="1" customWidth="1"/>
  </cols>
  <sheetData>
    <row r="1" spans="1:11" x14ac:dyDescent="0.25">
      <c r="A1" s="24" t="str">
        <f>Cover!A1</f>
        <v>Utah Department of Health &amp; Human Services, Office of Reimbursement, Coordinated Care &amp; Audit</v>
      </c>
      <c r="B1" s="24"/>
      <c r="C1" s="24"/>
      <c r="D1" s="24"/>
      <c r="E1" s="24"/>
      <c r="F1" s="24"/>
      <c r="G1" s="24"/>
      <c r="H1" s="24"/>
      <c r="I1" s="24"/>
      <c r="J1" s="24"/>
    </row>
    <row r="2" spans="1:11" x14ac:dyDescent="0.25">
      <c r="A2" s="24" t="str">
        <f>Cover!A2</f>
        <v>Medicaid Rate Study</v>
      </c>
      <c r="B2" s="24"/>
      <c r="C2" s="24"/>
      <c r="D2" s="24"/>
      <c r="E2" s="24"/>
      <c r="F2" s="24"/>
      <c r="G2" s="24"/>
      <c r="H2" s="24"/>
      <c r="I2" s="24"/>
      <c r="J2" s="24"/>
    </row>
    <row r="3" spans="1:11" x14ac:dyDescent="0.25">
      <c r="A3" s="24" t="str">
        <f>Cover!A3&amp;"-4c"</f>
        <v>2025 Home and Community Based Services (HCBS) - Exhibit A-4c</v>
      </c>
      <c r="B3" s="24"/>
      <c r="C3" s="24"/>
      <c r="D3" s="24"/>
      <c r="E3" s="24"/>
      <c r="F3" s="24"/>
      <c r="G3" s="24"/>
      <c r="H3" s="24"/>
      <c r="I3" s="24"/>
      <c r="J3" s="24"/>
    </row>
    <row r="4" spans="1:11" x14ac:dyDescent="0.25">
      <c r="A4" t="s">
        <v>389</v>
      </c>
    </row>
    <row r="7" spans="1:11" s="5" customFormat="1" x14ac:dyDescent="0.25">
      <c r="B7"/>
      <c r="C7"/>
      <c r="D7"/>
      <c r="E7"/>
      <c r="F7"/>
      <c r="G7"/>
      <c r="H7"/>
      <c r="I7"/>
      <c r="J7"/>
    </row>
    <row r="8" spans="1:11" s="8" customFormat="1" ht="30" customHeight="1" x14ac:dyDescent="0.25">
      <c r="A8" s="188"/>
      <c r="B8" s="162"/>
      <c r="C8" s="162"/>
      <c r="D8" s="162"/>
      <c r="E8" s="162"/>
      <c r="F8" s="162"/>
      <c r="G8" s="162"/>
      <c r="H8" s="162"/>
      <c r="I8" s="162"/>
      <c r="J8" s="39"/>
    </row>
    <row r="9" spans="1:11" ht="45.75" thickBot="1" x14ac:dyDescent="0.3">
      <c r="A9" s="6" t="s">
        <v>364</v>
      </c>
      <c r="B9" s="6" t="s">
        <v>30</v>
      </c>
      <c r="C9" s="6" t="s">
        <v>371</v>
      </c>
      <c r="D9" s="6" t="s">
        <v>0</v>
      </c>
      <c r="E9" s="6" t="s">
        <v>373</v>
      </c>
      <c r="F9" s="6" t="s">
        <v>375</v>
      </c>
      <c r="G9" s="6" t="s">
        <v>386</v>
      </c>
      <c r="H9" s="35" t="s">
        <v>387</v>
      </c>
      <c r="I9" s="6" t="s">
        <v>388</v>
      </c>
      <c r="J9" s="6" t="s">
        <v>377</v>
      </c>
    </row>
    <row r="10" spans="1:11" s="72" customFormat="1" x14ac:dyDescent="0.25">
      <c r="A10" s="43" t="s">
        <v>365</v>
      </c>
      <c r="B10" s="43" t="s">
        <v>76</v>
      </c>
      <c r="C10" s="36" t="s">
        <v>64</v>
      </c>
      <c r="D10" s="36" t="s">
        <v>384</v>
      </c>
      <c r="E10" s="36" t="s">
        <v>385</v>
      </c>
      <c r="F10" s="36">
        <f>_xlfn.XLOOKUP(B10,'A-3 Hourly Cost Calculation'!$B$7:$B$124,'A-3 Hourly Cost Calculation'!$Q$7:$Q$124,,0)</f>
        <v>40.14115265163403</v>
      </c>
      <c r="G10" s="61">
        <v>15</v>
      </c>
      <c r="H10" s="36">
        <f>F10*0.25</f>
        <v>10.035288162908508</v>
      </c>
      <c r="I10" s="61">
        <v>23770</v>
      </c>
      <c r="J10" s="60">
        <f>H10*I10</f>
        <v>238538.79963233523</v>
      </c>
      <c r="K10" s="118"/>
    </row>
    <row r="11" spans="1:11" x14ac:dyDescent="0.25">
      <c r="A11" s="43" t="s">
        <v>365</v>
      </c>
      <c r="B11" s="38" t="s">
        <v>125</v>
      </c>
      <c r="C11" s="36" t="s">
        <v>64</v>
      </c>
      <c r="D11" s="36" t="s">
        <v>384</v>
      </c>
      <c r="E11" s="36" t="s">
        <v>385</v>
      </c>
      <c r="F11" s="36">
        <f>_xlfn.XLOOKUP(B11,'A-3 Hourly Cost Calculation'!$B$7:$B$124,'A-3 Hourly Cost Calculation'!$Q$7:$Q$124,,0)</f>
        <v>33.630336303363038</v>
      </c>
      <c r="G11" s="61">
        <v>15</v>
      </c>
      <c r="H11" s="36">
        <f>F11*0.25</f>
        <v>8.4075840758407594</v>
      </c>
      <c r="I11" s="61">
        <v>2000</v>
      </c>
      <c r="J11" s="60">
        <f>H11*I11</f>
        <v>16815.168151681519</v>
      </c>
    </row>
    <row r="12" spans="1:11" x14ac:dyDescent="0.25">
      <c r="A12" s="43" t="s">
        <v>365</v>
      </c>
      <c r="B12" s="38" t="s">
        <v>205</v>
      </c>
      <c r="C12" s="36" t="s">
        <v>64</v>
      </c>
      <c r="D12" s="36" t="s">
        <v>384</v>
      </c>
      <c r="E12" s="36" t="s">
        <v>385</v>
      </c>
      <c r="F12" s="36">
        <f>_xlfn.XLOOKUP(B12,'A-3 Hourly Cost Calculation'!$B$7:$B$124,'A-3 Hourly Cost Calculation'!$Q$7:$Q$124,,0)</f>
        <v>58.301551797233017</v>
      </c>
      <c r="G12" s="69">
        <v>9.23</v>
      </c>
      <c r="H12" s="36">
        <f>F12*(G12/60)</f>
        <v>8.9687220514743462</v>
      </c>
      <c r="I12" s="61">
        <v>5978</v>
      </c>
      <c r="J12" s="60">
        <f>H12*I12</f>
        <v>53615.020423713642</v>
      </c>
    </row>
    <row r="13" spans="1:11" x14ac:dyDescent="0.25">
      <c r="A13" s="43" t="s">
        <v>460</v>
      </c>
      <c r="B13" s="38" t="s">
        <v>425</v>
      </c>
      <c r="C13" s="36" t="s">
        <v>64</v>
      </c>
      <c r="D13" s="36" t="s">
        <v>384</v>
      </c>
      <c r="E13" s="36" t="s">
        <v>385</v>
      </c>
      <c r="F13" s="147"/>
      <c r="G13" s="148"/>
      <c r="H13" s="36">
        <v>59.02</v>
      </c>
      <c r="I13" s="149"/>
      <c r="J13" s="150"/>
    </row>
  </sheetData>
  <autoFilter ref="B9:J12" xr:uid="{00000000-0009-0000-0000-000006000000}">
    <sortState xmlns:xlrd2="http://schemas.microsoft.com/office/spreadsheetml/2017/richdata2" ref="B10:J13">
      <sortCondition ref="C9:C12"/>
    </sortState>
  </autoFilter>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5"/>
  <sheetViews>
    <sheetView workbookViewId="0">
      <selection activeCell="A11" sqref="A11"/>
    </sheetView>
  </sheetViews>
  <sheetFormatPr defaultRowHeight="15" x14ac:dyDescent="0.25"/>
  <cols>
    <col min="1" max="1" width="14.28515625" bestFit="1" customWidth="1"/>
    <col min="2" max="2" width="25" customWidth="1"/>
    <col min="3" max="3" width="10.5703125" bestFit="1" customWidth="1"/>
    <col min="4" max="4" width="60.140625" bestFit="1" customWidth="1"/>
    <col min="5" max="5" width="14.85546875" customWidth="1"/>
    <col min="6" max="9" width="12.28515625" customWidth="1"/>
    <col min="10" max="10" width="15.140625" customWidth="1"/>
    <col min="11" max="11" width="14.28515625" bestFit="1" customWidth="1"/>
  </cols>
  <sheetData>
    <row r="1" spans="1:11" x14ac:dyDescent="0.25">
      <c r="A1" s="24" t="str">
        <f>Cover!A1</f>
        <v>Utah Department of Health &amp; Human Services, Office of Reimbursement, Coordinated Care &amp; Audit</v>
      </c>
      <c r="B1" s="24"/>
      <c r="C1" s="24"/>
      <c r="D1" s="24"/>
      <c r="E1" s="24"/>
      <c r="F1" s="24"/>
      <c r="G1" s="24"/>
      <c r="H1" s="24"/>
      <c r="I1" s="24"/>
      <c r="J1" s="24"/>
    </row>
    <row r="2" spans="1:11" x14ac:dyDescent="0.25">
      <c r="A2" s="24" t="str">
        <f>Cover!A2</f>
        <v>Medicaid Rate Study</v>
      </c>
      <c r="B2" s="24"/>
      <c r="C2" s="24"/>
      <c r="D2" s="24"/>
      <c r="E2" s="24"/>
      <c r="F2" s="24"/>
      <c r="G2" s="24"/>
      <c r="H2" s="24"/>
      <c r="I2" s="24"/>
      <c r="J2" s="24"/>
    </row>
    <row r="3" spans="1:11" x14ac:dyDescent="0.25">
      <c r="A3" s="24" t="str">
        <f>Cover!A3&amp;"-4d"</f>
        <v>2025 Home and Community Based Services (HCBS) - Exhibit A-4d</v>
      </c>
      <c r="B3" s="24"/>
      <c r="C3" s="24"/>
      <c r="D3" s="24"/>
      <c r="E3" s="24"/>
      <c r="F3" s="24"/>
      <c r="G3" s="24"/>
      <c r="H3" s="24"/>
      <c r="I3" s="24"/>
      <c r="J3" s="24"/>
    </row>
    <row r="4" spans="1:11" x14ac:dyDescent="0.25">
      <c r="A4" t="s">
        <v>392</v>
      </c>
    </row>
    <row r="7" spans="1:11" s="5" customFormat="1" x14ac:dyDescent="0.25">
      <c r="B7"/>
      <c r="C7"/>
      <c r="D7"/>
      <c r="E7"/>
      <c r="F7"/>
      <c r="G7"/>
      <c r="H7"/>
      <c r="I7"/>
      <c r="J7"/>
    </row>
    <row r="8" spans="1:11" s="8" customFormat="1" ht="30" customHeight="1" x14ac:dyDescent="0.25">
      <c r="A8" s="188"/>
      <c r="B8" s="162"/>
      <c r="C8" s="162"/>
      <c r="D8" s="162"/>
      <c r="E8" s="162"/>
      <c r="F8" s="162"/>
      <c r="G8" s="162"/>
      <c r="H8" s="162"/>
      <c r="I8" s="39"/>
      <c r="J8" s="39"/>
    </row>
    <row r="9" spans="1:11" ht="45.75" thickBot="1" x14ac:dyDescent="0.3">
      <c r="A9" s="6" t="s">
        <v>364</v>
      </c>
      <c r="B9" s="6" t="s">
        <v>30</v>
      </c>
      <c r="C9" s="6" t="s">
        <v>371</v>
      </c>
      <c r="D9" s="6" t="s">
        <v>0</v>
      </c>
      <c r="E9" s="6" t="s">
        <v>373</v>
      </c>
      <c r="F9" s="6" t="s">
        <v>375</v>
      </c>
      <c r="G9" s="6" t="s">
        <v>386</v>
      </c>
      <c r="H9" s="35" t="s">
        <v>390</v>
      </c>
      <c r="I9" s="6" t="s">
        <v>391</v>
      </c>
      <c r="J9" s="6" t="s">
        <v>377</v>
      </c>
    </row>
    <row r="10" spans="1:11" s="72" customFormat="1" x14ac:dyDescent="0.25">
      <c r="A10" s="43" t="s">
        <v>365</v>
      </c>
      <c r="B10" s="43" t="s">
        <v>168</v>
      </c>
      <c r="C10" s="36" t="s">
        <v>57</v>
      </c>
      <c r="D10" s="36" t="s">
        <v>221</v>
      </c>
      <c r="E10" s="36" t="s">
        <v>232</v>
      </c>
      <c r="F10" s="36">
        <v>38.17</v>
      </c>
      <c r="G10" s="61">
        <v>15</v>
      </c>
      <c r="H10" s="36">
        <f>H22</f>
        <v>6.1072000000000006</v>
      </c>
      <c r="I10" s="61">
        <v>4518</v>
      </c>
      <c r="J10" s="60">
        <f>H10*I10</f>
        <v>27592.329600000005</v>
      </c>
      <c r="K10" s="118"/>
    </row>
    <row r="11" spans="1:11" x14ac:dyDescent="0.25">
      <c r="A11" s="43" t="s">
        <v>365</v>
      </c>
      <c r="B11" s="38" t="s">
        <v>192</v>
      </c>
      <c r="C11" s="36" t="s">
        <v>57</v>
      </c>
      <c r="D11" s="36" t="s">
        <v>221</v>
      </c>
      <c r="E11" s="36" t="s">
        <v>232</v>
      </c>
      <c r="F11" s="36">
        <f>_xlfn.XLOOKUP(B11,'A-3 Hourly Cost Calculation'!$B$7:$B$124,'A-3 Hourly Cost Calculation'!$Q$7:$Q$124,,0)</f>
        <v>81.629433847830114</v>
      </c>
      <c r="G11" s="61">
        <v>15</v>
      </c>
      <c r="H11" s="36">
        <f>A34</f>
        <v>4.0861819480519479</v>
      </c>
      <c r="I11" s="61">
        <v>41806</v>
      </c>
      <c r="J11" s="60">
        <f t="shared" ref="J11" si="0">H11*I11</f>
        <v>170826.92252025974</v>
      </c>
    </row>
    <row r="14" spans="1:11" x14ac:dyDescent="0.25">
      <c r="A14" s="108" t="s">
        <v>403</v>
      </c>
    </row>
    <row r="16" spans="1:11" x14ac:dyDescent="0.25">
      <c r="A16" t="s">
        <v>393</v>
      </c>
    </row>
    <row r="18" spans="1:8" x14ac:dyDescent="0.25">
      <c r="A18" t="s">
        <v>394</v>
      </c>
    </row>
    <row r="19" spans="1:8" ht="30.75" thickBot="1" x14ac:dyDescent="0.3">
      <c r="A19" s="6" t="s">
        <v>395</v>
      </c>
      <c r="B19" s="6" t="s">
        <v>396</v>
      </c>
      <c r="C19" s="6" t="s">
        <v>397</v>
      </c>
      <c r="D19" s="6" t="s">
        <v>457</v>
      </c>
      <c r="E19" s="6" t="s">
        <v>458</v>
      </c>
      <c r="F19" s="6" t="s">
        <v>390</v>
      </c>
      <c r="G19" s="6" t="s">
        <v>459</v>
      </c>
      <c r="H19" s="6" t="s">
        <v>399</v>
      </c>
    </row>
    <row r="20" spans="1:8" x14ac:dyDescent="0.25">
      <c r="A20" t="s">
        <v>400</v>
      </c>
      <c r="B20">
        <v>5</v>
      </c>
      <c r="C20" s="71">
        <f>F10</f>
        <v>38.17</v>
      </c>
      <c r="D20">
        <f>C20*B20</f>
        <v>190.85000000000002</v>
      </c>
      <c r="E20">
        <v>50</v>
      </c>
      <c r="F20">
        <f>D20/E20</f>
        <v>3.8170000000000006</v>
      </c>
      <c r="G20" s="113"/>
      <c r="H20" s="73">
        <f>F20</f>
        <v>3.8170000000000006</v>
      </c>
    </row>
    <row r="21" spans="1:8" x14ac:dyDescent="0.25">
      <c r="A21" t="s">
        <v>401</v>
      </c>
      <c r="B21">
        <v>5</v>
      </c>
      <c r="C21" s="71">
        <f>F10</f>
        <v>38.17</v>
      </c>
      <c r="D21">
        <f>C21*B21</f>
        <v>190.85000000000002</v>
      </c>
      <c r="E21">
        <v>50</v>
      </c>
      <c r="F21">
        <f>D21/E21</f>
        <v>3.8170000000000006</v>
      </c>
      <c r="G21" s="113">
        <v>0.4</v>
      </c>
      <c r="H21" s="120">
        <f>F21*(1-G21)</f>
        <v>2.2902000000000005</v>
      </c>
    </row>
    <row r="22" spans="1:8" x14ac:dyDescent="0.25">
      <c r="H22" s="111">
        <f>SUM(H20:H21)</f>
        <v>6.1072000000000006</v>
      </c>
    </row>
    <row r="23" spans="1:8" x14ac:dyDescent="0.25">
      <c r="A23" t="s">
        <v>402</v>
      </c>
    </row>
    <row r="26" spans="1:8" x14ac:dyDescent="0.25">
      <c r="A26" t="s">
        <v>404</v>
      </c>
    </row>
    <row r="27" spans="1:8" x14ac:dyDescent="0.25">
      <c r="A27" t="s">
        <v>405</v>
      </c>
    </row>
    <row r="28" spans="1:8" x14ac:dyDescent="0.25">
      <c r="A28" s="121">
        <v>28084544</v>
      </c>
      <c r="B28" t="s">
        <v>411</v>
      </c>
    </row>
    <row r="29" spans="1:8" x14ac:dyDescent="0.25">
      <c r="A29" s="121">
        <v>2159072</v>
      </c>
      <c r="B29" t="s">
        <v>406</v>
      </c>
    </row>
    <row r="30" spans="1:8" x14ac:dyDescent="0.25">
      <c r="A30" s="121">
        <v>581190</v>
      </c>
      <c r="B30" t="s">
        <v>407</v>
      </c>
    </row>
    <row r="31" spans="1:8" x14ac:dyDescent="0.25">
      <c r="A31" s="122">
        <v>638795</v>
      </c>
      <c r="B31" t="s">
        <v>408</v>
      </c>
    </row>
    <row r="32" spans="1:8" x14ac:dyDescent="0.25">
      <c r="A32" s="123">
        <f>SUM(A28:A31)</f>
        <v>31463601</v>
      </c>
      <c r="B32" t="s">
        <v>409</v>
      </c>
    </row>
    <row r="33" spans="1:2" x14ac:dyDescent="0.25">
      <c r="A33" s="124">
        <v>7700000</v>
      </c>
      <c r="B33" t="s">
        <v>410</v>
      </c>
    </row>
    <row r="34" spans="1:2" ht="15.75" thickBot="1" x14ac:dyDescent="0.3">
      <c r="A34" s="125">
        <f>A32/A33</f>
        <v>4.0861819480519479</v>
      </c>
      <c r="B34" t="s">
        <v>398</v>
      </c>
    </row>
    <row r="35" spans="1:2" ht="15.75" thickTop="1" x14ac:dyDescent="0.25"/>
  </sheetData>
  <autoFilter ref="B9:J11" xr:uid="{00000000-0009-0000-0000-000007000000}"/>
  <pageMargins left="0.7" right="0.7" top="0.75" bottom="0.75" header="0.3" footer="0.3"/>
  <customProperties>
    <customPr name="OrphanNamesChecke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A6DB-874A-4354-9119-4870B4186B5E}">
  <dimension ref="A1:P25"/>
  <sheetViews>
    <sheetView workbookViewId="0">
      <selection activeCell="D26" sqref="D26"/>
    </sheetView>
  </sheetViews>
  <sheetFormatPr defaultRowHeight="15" x14ac:dyDescent="0.25"/>
  <cols>
    <col min="1" max="1" width="18.28515625" customWidth="1"/>
    <col min="2" max="2" width="24.7109375" bestFit="1" customWidth="1"/>
    <col min="4" max="4" width="30.85546875" bestFit="1" customWidth="1"/>
    <col min="5" max="5" width="11.28515625" bestFit="1" customWidth="1"/>
    <col min="6" max="6" width="12.7109375" customWidth="1"/>
    <col min="16" max="16" width="9.42578125" bestFit="1" customWidth="1"/>
  </cols>
  <sheetData>
    <row r="1" spans="1:6" x14ac:dyDescent="0.25">
      <c r="A1" s="24" t="str">
        <f>Cover!A1</f>
        <v>Utah Department of Health &amp; Human Services, Office of Reimbursement, Coordinated Care &amp; Audit</v>
      </c>
      <c r="B1" s="24"/>
      <c r="C1" s="24"/>
      <c r="D1" s="24"/>
      <c r="E1" s="24"/>
      <c r="F1" s="24"/>
    </row>
    <row r="2" spans="1:6" x14ac:dyDescent="0.25">
      <c r="A2" s="24" t="str">
        <f>Cover!A2</f>
        <v>Medicaid Rate Study</v>
      </c>
      <c r="B2" s="24"/>
      <c r="C2" s="24"/>
      <c r="D2" s="24"/>
      <c r="E2" s="24"/>
      <c r="F2" s="24"/>
    </row>
    <row r="3" spans="1:6" x14ac:dyDescent="0.25">
      <c r="A3" s="24" t="str">
        <f>Cover!A3&amp;"-4c"</f>
        <v>2025 Home and Community Based Services (HCBS) - Exhibit A-4c</v>
      </c>
      <c r="B3" s="24"/>
      <c r="C3" s="24"/>
      <c r="D3" s="24"/>
      <c r="E3" s="24"/>
      <c r="F3" s="24"/>
    </row>
    <row r="4" spans="1:6" x14ac:dyDescent="0.25">
      <c r="A4" t="s">
        <v>517</v>
      </c>
    </row>
    <row r="7" spans="1:6" x14ac:dyDescent="0.25">
      <c r="A7" s="5"/>
    </row>
    <row r="8" spans="1:6" x14ac:dyDescent="0.25">
      <c r="A8" s="188"/>
      <c r="B8" s="162"/>
      <c r="C8" s="162"/>
      <c r="D8" s="162"/>
      <c r="E8" s="162"/>
      <c r="F8" s="162"/>
    </row>
    <row r="9" spans="1:6" ht="30.75" thickBot="1" x14ac:dyDescent="0.3">
      <c r="A9" s="6" t="s">
        <v>364</v>
      </c>
      <c r="B9" s="6" t="s">
        <v>30</v>
      </c>
      <c r="C9" s="6" t="s">
        <v>371</v>
      </c>
      <c r="D9" s="6" t="s">
        <v>0</v>
      </c>
      <c r="E9" s="6" t="s">
        <v>373</v>
      </c>
      <c r="F9" s="35" t="s">
        <v>516</v>
      </c>
    </row>
    <row r="10" spans="1:6" x14ac:dyDescent="0.25">
      <c r="A10" s="43" t="s">
        <v>460</v>
      </c>
      <c r="B10" s="38" t="s">
        <v>515</v>
      </c>
      <c r="C10" s="36" t="s">
        <v>69</v>
      </c>
      <c r="D10" s="36" t="s">
        <v>75</v>
      </c>
      <c r="E10" s="36" t="s">
        <v>514</v>
      </c>
      <c r="F10" s="36">
        <v>228.75</v>
      </c>
    </row>
    <row r="13" spans="1:6" x14ac:dyDescent="0.25">
      <c r="A13" t="s">
        <v>518</v>
      </c>
    </row>
    <row r="21" spans="7:16" x14ac:dyDescent="0.25">
      <c r="O21" s="189"/>
      <c r="P21" s="189"/>
    </row>
    <row r="24" spans="7:16" x14ac:dyDescent="0.25">
      <c r="G24" s="71"/>
    </row>
    <row r="25" spans="7:16" x14ac:dyDescent="0.25">
      <c r="G25"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AE4126-5E28-4C73-9693-C78F1C81124D}"/>
</file>

<file path=customXml/itemProps2.xml><?xml version="1.0" encoding="utf-8"?>
<ds:datastoreItem xmlns:ds="http://schemas.openxmlformats.org/officeDocument/2006/customXml" ds:itemID="{43D11BC5-EF3B-4B17-A548-A20470A1A3EF}"/>
</file>

<file path=customXml/itemProps3.xml><?xml version="1.0" encoding="utf-8"?>
<ds:datastoreItem xmlns:ds="http://schemas.openxmlformats.org/officeDocument/2006/customXml" ds:itemID="{B6B103A2-94C5-487D-AB96-991642A05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A-1 HCBS Summary</vt:lpstr>
      <vt:lpstr>A-2 Identify Outlier-Exclusion</vt:lpstr>
      <vt:lpstr>A-3 Hourly Cost Calculation</vt:lpstr>
      <vt:lpstr>A-4a 15min Unit Cost Calc</vt:lpstr>
      <vt:lpstr>A-4b Visit Unit Cost Calc</vt:lpstr>
      <vt:lpstr>A-4c Trip Unit Cost Calc</vt:lpstr>
      <vt:lpstr>A-4d Meal Unit Cost Calc</vt:lpstr>
      <vt:lpstr>A-4e Per Month Cost Calc</vt:lpstr>
      <vt:lpstr>A-4f Per Diem Unit Cost Calc</vt:lpstr>
      <vt:lpstr>A-5 Border States</vt:lpstr>
      <vt:lpstr>A-3 CMS Market Basket Index </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Robinson</dc:creator>
  <cp:lastModifiedBy>Daniel Robinson</cp:lastModifiedBy>
  <dcterms:created xsi:type="dcterms:W3CDTF">2025-05-23T18:02:35Z</dcterms:created>
  <dcterms:modified xsi:type="dcterms:W3CDTF">2025-10-03T14:36:55Z</dcterms:modified>
</cp:coreProperties>
</file>