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7.xml" ContentType="application/vnd.openxmlformats-officedocument.spreadsheetml.worksheet+xml"/>
  <Override PartName="/xl/metadata.xml" ContentType="application/vnd.openxmlformats-officedocument.spreadsheetml.sheetMetadata+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docProps/app.xml" ContentType="application/vnd.openxmlformats-officedocument.extended-properties+xml"/>
  <Override PartName="/xl/customProperty7.bin" ContentType="application/vnd.openxmlformats-officedocument.spreadsheetml.customProperty"/>
  <Override PartName="/xl/customProperty6.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I:\Utah\Rate Study\2024\HHA\Final Report\"/>
    </mc:Choice>
  </mc:AlternateContent>
  <xr:revisionPtr revIDLastSave="0" documentId="13_ncr:1_{3D66A44C-1557-4C47-913C-50F13E94961D}" xr6:coauthVersionLast="47" xr6:coauthVersionMax="47" xr10:uidLastSave="{00000000-0000-0000-0000-000000000000}"/>
  <bookViews>
    <workbookView xWindow="-28920" yWindow="-120" windowWidth="29040" windowHeight="15840" xr2:uid="{04164FF5-C803-41B9-908B-201E2B54FED6}"/>
  </bookViews>
  <sheets>
    <sheet name="Cover" sheetId="19" r:id="rId1"/>
    <sheet name="A-1 HHA Summary" sheetId="20" r:id="rId2"/>
    <sheet name="A-2 Provider Counts" sheetId="24" r:id="rId3"/>
    <sheet name="A-3 Cost Coverage" sheetId="26" r:id="rId4"/>
    <sheet name="A-4 MCR Rates" sheetId="25" r:id="rId5"/>
    <sheet name="A-5 Border States" sheetId="21" r:id="rId6"/>
    <sheet name="A-6 CMS Market Basket Index " sheetId="22" r:id="rId7"/>
    <sheet name="A-7 SNF RN LPN" sheetId="11" r:id="rId8"/>
    <sheet name="A-8 PT" sheetId="12" r:id="rId9"/>
    <sheet name="A-9 OT" sheetId="13" r:id="rId10"/>
    <sheet name="A-10 SLP" sheetId="14" r:id="rId11"/>
    <sheet name="A-11 MS" sheetId="15" r:id="rId12"/>
    <sheet name="A-12 HHA" sheetId="16" r:id="rId13"/>
  </sheet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24</definedName>
    <definedName name="_AtRisk_SimSetting_MultipleCPUMode" hidden="1">2</definedName>
    <definedName name="_AtRisk_SimSetting_RandomNumberGenerator" hidden="1">0</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_xlnm._FilterDatabase" localSheetId="10" hidden="1">'A-10 SLP'!$B$4:$O$89</definedName>
    <definedName name="_xlnm._FilterDatabase" localSheetId="11" hidden="1">'A-11 MS'!$B$4:$O$89</definedName>
    <definedName name="_xlnm._FilterDatabase" localSheetId="12" hidden="1">'A-12 HHA'!$B$4:$O$89</definedName>
    <definedName name="_xlnm._FilterDatabase" localSheetId="4" hidden="1">'A-4 MCR Rates'!$A$6:$E$6</definedName>
    <definedName name="_xlnm._FilterDatabase" localSheetId="5" hidden="1">'A-5 Border States'!$A$6:$J$7</definedName>
    <definedName name="_xlnm._FilterDatabase" localSheetId="7" hidden="1">'A-7 SNF RN LPN'!$B$4:$W$89</definedName>
    <definedName name="_xlnm._FilterDatabase" localSheetId="8" hidden="1">'A-8 PT'!$B$4:$W$89</definedName>
    <definedName name="_xlnm._FilterDatabase" localSheetId="9" hidden="1">'A-9 OT'!$B$4:$W$89</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Pal_Workbook_GUID" hidden="1">"5V2VSGR76NKHZXZYR8I3ZAIZ"</definedName>
    <definedName name="_xlnm.Print_Area" localSheetId="1">'A-1 HHA Summary'!$A$1:$J$20</definedName>
    <definedName name="_xlnm.Print_Area" localSheetId="10">'A-10 SLP'!$A$1:$O$89</definedName>
    <definedName name="_xlnm.Print_Area" localSheetId="11">'A-11 MS'!$A$1:$O$89</definedName>
    <definedName name="_xlnm.Print_Area" localSheetId="12">'A-12 HHA'!$A$1:$O$89</definedName>
    <definedName name="_xlnm.Print_Area" localSheetId="4">'A-4 MCR Rates'!$A$1:$E$16</definedName>
    <definedName name="_xlnm.Print_Area" localSheetId="5">'A-5 Border States'!$A$1:$I$18</definedName>
    <definedName name="_xlnm.Print_Area" localSheetId="7">'A-7 SNF RN LPN'!$A$1:$W$89</definedName>
    <definedName name="_xlnm.Print_Area" localSheetId="8">'A-8 PT'!$A$1:$W$89</definedName>
    <definedName name="_xlnm.Print_Area" localSheetId="9">'A-9 OT'!$A$1:$W$89</definedName>
    <definedName name="_xlnm.Print_Area" localSheetId="0">Cover!$A$1:$O$6</definedName>
    <definedName name="_xlnm.Print_Titles" localSheetId="10">'A-10 SLP'!$1:$4</definedName>
    <definedName name="_xlnm.Print_Titles" localSheetId="11">'A-11 MS'!$1:$4</definedName>
    <definedName name="_xlnm.Print_Titles" localSheetId="12">'A-12 HHA'!$1:$4</definedName>
    <definedName name="_xlnm.Print_Titles" localSheetId="7">'A-7 SNF RN LPN'!$1:$4</definedName>
    <definedName name="_xlnm.Print_Titles" localSheetId="8">'A-8 PT'!$1:$4</definedName>
    <definedName name="_xlnm.Print_Titles" localSheetId="9">'A-9 OT'!$1:$4</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IsInput" hidden="1">FALSE</definedName>
    <definedName name="RiskIsOptimization" hidden="1">FALSE</definedName>
    <definedName name="RiskIsOutput" hidden="1">FALSE</definedName>
    <definedName name="RiskIsStatistics" hidden="1">FALSE</definedName>
    <definedName name="RiskMinimizeOnStart" hidden="1">FALSE</definedName>
    <definedName name="RiskMonitorConvergence" hidden="1">FALSE</definedName>
    <definedName name="RiskMultipleCPUSupportEnabled" hidden="1">FALSE</definedName>
    <definedName name="RiskNumIterations" hidden="1">10000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FALSE</definedName>
    <definedName name="RiskUseMultipleCPUs" hidden="1">FALSE</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87" i="12" l="1"/>
  <c r="G6" i="11" l="1"/>
  <c r="G7" i="11"/>
  <c r="G8" i="11"/>
  <c r="G9" i="11"/>
  <c r="G10" i="11"/>
  <c r="G11" i="11"/>
  <c r="G12" i="11"/>
  <c r="G13" i="11"/>
  <c r="G14" i="11"/>
  <c r="G15" i="11"/>
  <c r="G16" i="11"/>
  <c r="G17" i="11"/>
  <c r="G18" i="11"/>
  <c r="G19" i="11"/>
  <c r="G20" i="11"/>
  <c r="G21" i="11"/>
  <c r="G22" i="11"/>
  <c r="G23" i="11"/>
  <c r="G24" i="11"/>
  <c r="G25" i="11"/>
  <c r="G26" i="11"/>
  <c r="G27" i="11"/>
  <c r="G28" i="11"/>
  <c r="G29" i="11"/>
  <c r="G30" i="11"/>
  <c r="G31" i="11"/>
  <c r="G32" i="11"/>
  <c r="G33" i="11"/>
  <c r="G34" i="11"/>
  <c r="G35" i="11"/>
  <c r="G36" i="11"/>
  <c r="G37" i="11"/>
  <c r="G38" i="11"/>
  <c r="G39" i="11"/>
  <c r="G40" i="11"/>
  <c r="G41" i="11"/>
  <c r="G42" i="11"/>
  <c r="G43" i="11"/>
  <c r="G44" i="11"/>
  <c r="G45" i="11"/>
  <c r="G46" i="11"/>
  <c r="G47" i="11"/>
  <c r="G48" i="11"/>
  <c r="G49" i="11"/>
  <c r="G50" i="11"/>
  <c r="G51" i="11"/>
  <c r="G52" i="11"/>
  <c r="G53" i="11"/>
  <c r="G54" i="11"/>
  <c r="G55" i="11"/>
  <c r="G56" i="11"/>
  <c r="G57" i="11"/>
  <c r="G58" i="11"/>
  <c r="G59" i="11"/>
  <c r="G60" i="11"/>
  <c r="G61" i="11"/>
  <c r="G62" i="11"/>
  <c r="G63" i="11"/>
  <c r="G64" i="11"/>
  <c r="G65" i="11"/>
  <c r="G66" i="11"/>
  <c r="G67" i="11"/>
  <c r="G68" i="11"/>
  <c r="G69" i="11"/>
  <c r="G70" i="11"/>
  <c r="G71" i="11"/>
  <c r="G72" i="11"/>
  <c r="G73" i="11"/>
  <c r="G74" i="11"/>
  <c r="G75" i="11"/>
  <c r="G76" i="11"/>
  <c r="G77" i="11"/>
  <c r="G78" i="11"/>
  <c r="E14" i="20"/>
  <c r="E15" i="26"/>
  <c r="G15" i="26" s="1"/>
  <c r="E13" i="26"/>
  <c r="E13" i="20" s="1"/>
  <c r="E12" i="26"/>
  <c r="E12" i="20" s="1"/>
  <c r="E11" i="26"/>
  <c r="E11" i="20" s="1"/>
  <c r="D7" i="26"/>
  <c r="H14" i="20"/>
  <c r="G15" i="20"/>
  <c r="G14" i="20"/>
  <c r="G13" i="20"/>
  <c r="G12" i="20"/>
  <c r="G11" i="20"/>
  <c r="G10" i="20"/>
  <c r="G9" i="20"/>
  <c r="G8" i="20"/>
  <c r="A3" i="25"/>
  <c r="A2" i="25"/>
  <c r="A1" i="25"/>
  <c r="E15" i="20" l="1"/>
  <c r="G13" i="26"/>
  <c r="G12" i="26"/>
  <c r="G16" i="20"/>
  <c r="E12" i="25"/>
  <c r="H13" i="20" s="1"/>
  <c r="G11" i="26"/>
  <c r="D16" i="26"/>
  <c r="D15" i="25"/>
  <c r="E11" i="25"/>
  <c r="H12" i="20" s="1"/>
  <c r="C15" i="25"/>
  <c r="E15" i="25" s="1"/>
  <c r="E9" i="25"/>
  <c r="H10" i="20" s="1"/>
  <c r="E8" i="25"/>
  <c r="H9" i="20" s="1"/>
  <c r="E10" i="25"/>
  <c r="H11" i="20" s="1"/>
  <c r="E7" i="25"/>
  <c r="H8" i="20" s="1"/>
  <c r="E14" i="25"/>
  <c r="H15" i="20" s="1"/>
  <c r="H16" i="20" l="1"/>
  <c r="C13" i="24" l="1"/>
  <c r="C10" i="24"/>
  <c r="C12" i="24"/>
  <c r="C83" i="11"/>
  <c r="C85" i="11" s="1"/>
  <c r="C84" i="11"/>
  <c r="C82" i="11"/>
  <c r="C9" i="24" s="1"/>
  <c r="C81" i="11"/>
  <c r="C8" i="24" s="1"/>
  <c r="C14" i="24" l="1"/>
  <c r="D7" i="20"/>
  <c r="F15" i="20"/>
  <c r="F13" i="20"/>
  <c r="F11" i="20"/>
  <c r="D16" i="20" l="1"/>
  <c r="F12" i="20"/>
  <c r="K87" i="12"/>
  <c r="K87" i="13"/>
  <c r="K87" i="14"/>
  <c r="K87" i="15"/>
  <c r="K87" i="16"/>
  <c r="J16" i="21" l="1"/>
  <c r="H16" i="21"/>
  <c r="G16" i="21"/>
  <c r="BF13" i="22"/>
  <c r="D14" i="21" l="1"/>
  <c r="BE13" i="22"/>
  <c r="BC13" i="22"/>
  <c r="BB13" i="22"/>
  <c r="I16" i="21" l="1"/>
  <c r="D8" i="21"/>
  <c r="D9" i="21"/>
  <c r="M52" i="22" l="1"/>
  <c r="BH16" i="22"/>
  <c r="BG16" i="22"/>
  <c r="BF16" i="22"/>
  <c r="BE16" i="22"/>
  <c r="BD16" i="22"/>
  <c r="BC16" i="22"/>
  <c r="BB16" i="22"/>
  <c r="BA16" i="22"/>
  <c r="AZ16" i="22"/>
  <c r="AY16" i="22"/>
  <c r="AX16" i="22"/>
  <c r="AW16" i="22"/>
  <c r="AV16" i="22"/>
  <c r="AU16" i="22"/>
  <c r="AT16" i="22"/>
  <c r="AS16" i="22"/>
  <c r="AR16" i="22"/>
  <c r="AQ16" i="22"/>
  <c r="AP16" i="22"/>
  <c r="AO16" i="22"/>
  <c r="AN16" i="22"/>
  <c r="AM16" i="22"/>
  <c r="AL16" i="22"/>
  <c r="AK16" i="22"/>
  <c r="AJ16" i="22"/>
  <c r="AI16" i="22"/>
  <c r="AH16" i="22"/>
  <c r="AG16" i="22"/>
  <c r="AF16" i="22"/>
  <c r="AE16" i="22"/>
  <c r="AD16" i="22"/>
  <c r="AC16" i="22"/>
  <c r="AB16" i="22"/>
  <c r="AA16" i="22"/>
  <c r="Z16" i="22"/>
  <c r="Y16" i="22"/>
  <c r="X16" i="22"/>
  <c r="W16" i="22"/>
  <c r="V16" i="22"/>
  <c r="U16" i="22"/>
  <c r="T16" i="22"/>
  <c r="S16" i="22"/>
  <c r="R16" i="22"/>
  <c r="Q16" i="22"/>
  <c r="P16" i="22"/>
  <c r="O16" i="22"/>
  <c r="N16" i="22"/>
  <c r="M16" i="22"/>
  <c r="L16" i="22"/>
  <c r="K16" i="22"/>
  <c r="J16" i="22"/>
  <c r="I16" i="22"/>
  <c r="H16" i="22"/>
  <c r="G16" i="22"/>
  <c r="F16" i="22"/>
  <c r="E16" i="22"/>
  <c r="D16" i="22"/>
  <c r="C16" i="22"/>
  <c r="B16" i="22"/>
  <c r="A3" i="21"/>
  <c r="A2" i="21"/>
  <c r="A1" i="21"/>
  <c r="I14" i="20" l="1"/>
  <c r="I10" i="20"/>
  <c r="I9" i="20"/>
  <c r="I8" i="20"/>
  <c r="BE3" i="22"/>
  <c r="BE4" i="22"/>
  <c r="BB5" i="22"/>
  <c r="BB4" i="22"/>
  <c r="BE8" i="22"/>
  <c r="BB3" i="22"/>
  <c r="BE7" i="22"/>
  <c r="BB8" i="22"/>
  <c r="BE6" i="22"/>
  <c r="BB7" i="22"/>
  <c r="BE5" i="22"/>
  <c r="BF5" i="22" s="1"/>
  <c r="BB6" i="22"/>
  <c r="BF3" i="22" l="1"/>
  <c r="BF7" i="22"/>
  <c r="BF8" i="22"/>
  <c r="BF4" i="22"/>
  <c r="BF6" i="22"/>
  <c r="D15" i="21" l="1"/>
  <c r="I15" i="20" s="1"/>
  <c r="D13" i="21"/>
  <c r="I13" i="20" s="1"/>
  <c r="D12" i="21"/>
  <c r="I12" i="20" s="1"/>
  <c r="D11" i="21" l="1"/>
  <c r="F16" i="21"/>
  <c r="J12" i="20"/>
  <c r="J13" i="20"/>
  <c r="J9" i="20"/>
  <c r="E14" i="21"/>
  <c r="J14" i="20"/>
  <c r="J15" i="20"/>
  <c r="I79" i="16"/>
  <c r="H79" i="16"/>
  <c r="F8" i="16"/>
  <c r="G8" i="16" s="1"/>
  <c r="F73" i="16"/>
  <c r="G73" i="16" s="1"/>
  <c r="F54" i="16"/>
  <c r="G54" i="16" s="1"/>
  <c r="F34" i="16"/>
  <c r="G34" i="16" s="1"/>
  <c r="F6" i="16"/>
  <c r="G6" i="16" s="1"/>
  <c r="F39" i="16"/>
  <c r="G39" i="16" s="1"/>
  <c r="F63" i="16"/>
  <c r="G63" i="16" s="1"/>
  <c r="F47" i="16"/>
  <c r="G47" i="16" s="1"/>
  <c r="K47" i="16" s="1"/>
  <c r="F10" i="16"/>
  <c r="G10" i="16" s="1"/>
  <c r="F26" i="16"/>
  <c r="G26" i="16" s="1"/>
  <c r="K26" i="16" s="1"/>
  <c r="F67" i="16"/>
  <c r="G67" i="16" s="1"/>
  <c r="F16" i="16"/>
  <c r="G16" i="16" s="1"/>
  <c r="F71" i="16"/>
  <c r="G71" i="16" s="1"/>
  <c r="F59" i="16"/>
  <c r="G59" i="16" s="1"/>
  <c r="F43" i="16"/>
  <c r="G43" i="16" s="1"/>
  <c r="G20" i="16"/>
  <c r="K20" i="16" s="1"/>
  <c r="F20" i="16"/>
  <c r="F58" i="16"/>
  <c r="G58" i="16" s="1"/>
  <c r="F14" i="16"/>
  <c r="G14" i="16" s="1"/>
  <c r="F30" i="16"/>
  <c r="G30" i="16" s="1"/>
  <c r="F68" i="16"/>
  <c r="G68" i="16" s="1"/>
  <c r="F32" i="16"/>
  <c r="G32" i="16" s="1"/>
  <c r="K32" i="16" s="1"/>
  <c r="F36" i="16"/>
  <c r="G36" i="16" s="1"/>
  <c r="K36" i="16" s="1"/>
  <c r="F12" i="16"/>
  <c r="G12" i="16" s="1"/>
  <c r="F28" i="16"/>
  <c r="G28" i="16" s="1"/>
  <c r="K28" i="16" s="1"/>
  <c r="F18" i="16"/>
  <c r="G18" i="16" s="1"/>
  <c r="F57" i="16"/>
  <c r="G57" i="16" s="1"/>
  <c r="K78" i="16"/>
  <c r="F78" i="16"/>
  <c r="G78" i="16" s="1"/>
  <c r="F7" i="16"/>
  <c r="G7" i="16" s="1"/>
  <c r="F17" i="16"/>
  <c r="G17" i="16" s="1"/>
  <c r="F70" i="16"/>
  <c r="G70" i="16" s="1"/>
  <c r="K70" i="16" s="1"/>
  <c r="F76" i="16"/>
  <c r="G76" i="16" s="1"/>
  <c r="F29" i="16"/>
  <c r="G29" i="16" s="1"/>
  <c r="F13" i="16"/>
  <c r="G13" i="16" s="1"/>
  <c r="F69" i="16"/>
  <c r="G69" i="16" s="1"/>
  <c r="F24" i="16"/>
  <c r="G24" i="16" s="1"/>
  <c r="F65" i="16"/>
  <c r="G65" i="16" s="1"/>
  <c r="F45" i="16"/>
  <c r="G45" i="16" s="1"/>
  <c r="F55" i="16"/>
  <c r="G55" i="16" s="1"/>
  <c r="K55" i="16" s="1"/>
  <c r="F61" i="16"/>
  <c r="G61" i="16" s="1"/>
  <c r="F11" i="16"/>
  <c r="G11" i="16" s="1"/>
  <c r="F25" i="16"/>
  <c r="G25" i="16" s="1"/>
  <c r="K25" i="16" s="1"/>
  <c r="F23" i="16"/>
  <c r="G23" i="16" s="1"/>
  <c r="F33" i="16"/>
  <c r="G33" i="16" s="1"/>
  <c r="F31" i="16"/>
  <c r="G31" i="16" s="1"/>
  <c r="K77" i="16"/>
  <c r="F77" i="16"/>
  <c r="G77" i="16" s="1"/>
  <c r="F15" i="16"/>
  <c r="G15" i="16" s="1"/>
  <c r="K15" i="16" s="1"/>
  <c r="F66" i="16"/>
  <c r="G66" i="16" s="1"/>
  <c r="K66" i="16" s="1"/>
  <c r="F72" i="16"/>
  <c r="G72" i="16" s="1"/>
  <c r="F64" i="16"/>
  <c r="G64" i="16" s="1"/>
  <c r="F21" i="16"/>
  <c r="G21" i="16" s="1"/>
  <c r="F74" i="16"/>
  <c r="G74" i="16" s="1"/>
  <c r="F22" i="16"/>
  <c r="G22" i="16" s="1"/>
  <c r="F49" i="16"/>
  <c r="G49" i="16" s="1"/>
  <c r="F35" i="16"/>
  <c r="G35" i="16" s="1"/>
  <c r="F60" i="16"/>
  <c r="G60" i="16" s="1"/>
  <c r="F9" i="16"/>
  <c r="G9" i="16" s="1"/>
  <c r="F50" i="16"/>
  <c r="G50" i="16" s="1"/>
  <c r="F62" i="16"/>
  <c r="G62" i="16" s="1"/>
  <c r="F27" i="16"/>
  <c r="G27" i="16" s="1"/>
  <c r="F56" i="16"/>
  <c r="G56" i="16" s="1"/>
  <c r="F19" i="16"/>
  <c r="G19" i="16" s="1"/>
  <c r="F52" i="16"/>
  <c r="G52" i="16" s="1"/>
  <c r="F38" i="16"/>
  <c r="G38" i="16" s="1"/>
  <c r="F75" i="16"/>
  <c r="G75" i="16" s="1"/>
  <c r="F51" i="16"/>
  <c r="G51" i="16" s="1"/>
  <c r="F44" i="16"/>
  <c r="G44" i="16" s="1"/>
  <c r="F48" i="16"/>
  <c r="G48" i="16" s="1"/>
  <c r="K48" i="16" s="1"/>
  <c r="F40" i="16"/>
  <c r="G40" i="16" s="1"/>
  <c r="F46" i="16"/>
  <c r="G46" i="16" s="1"/>
  <c r="F53" i="16"/>
  <c r="G53" i="16" s="1"/>
  <c r="F41" i="16"/>
  <c r="G41" i="16" s="1"/>
  <c r="K41" i="16" s="1"/>
  <c r="F42" i="16"/>
  <c r="G42" i="16" s="1"/>
  <c r="F37" i="16"/>
  <c r="G37" i="16" s="1"/>
  <c r="I79" i="15"/>
  <c r="H79" i="15"/>
  <c r="F57" i="15"/>
  <c r="G57" i="15" s="1"/>
  <c r="K78" i="15"/>
  <c r="F78" i="15"/>
  <c r="G78" i="15" s="1"/>
  <c r="F43" i="15"/>
  <c r="G43" i="15" s="1"/>
  <c r="K77" i="15"/>
  <c r="F77" i="15"/>
  <c r="G77" i="15" s="1"/>
  <c r="K76" i="15"/>
  <c r="F76" i="15"/>
  <c r="G76" i="15" s="1"/>
  <c r="F13" i="15"/>
  <c r="G13" i="15" s="1"/>
  <c r="K13" i="15" s="1"/>
  <c r="K75" i="15"/>
  <c r="F75" i="15"/>
  <c r="G75" i="15" s="1"/>
  <c r="K74" i="15"/>
  <c r="F74" i="15"/>
  <c r="G74" i="15" s="1"/>
  <c r="K73" i="15"/>
  <c r="F73" i="15"/>
  <c r="G73" i="15" s="1"/>
  <c r="F37" i="15"/>
  <c r="G37" i="15" s="1"/>
  <c r="F38" i="15"/>
  <c r="G38" i="15" s="1"/>
  <c r="F40" i="15"/>
  <c r="G40" i="15" s="1"/>
  <c r="K40" i="15" s="1"/>
  <c r="F52" i="15"/>
  <c r="G52" i="15" s="1"/>
  <c r="F33" i="15"/>
  <c r="G33" i="15" s="1"/>
  <c r="K33" i="15" s="1"/>
  <c r="K72" i="15"/>
  <c r="F72" i="15"/>
  <c r="G72" i="15" s="1"/>
  <c r="F15" i="15"/>
  <c r="G15" i="15" s="1"/>
  <c r="F20" i="15"/>
  <c r="G20" i="15" s="1"/>
  <c r="K20" i="15" s="1"/>
  <c r="F18" i="15"/>
  <c r="G18" i="15" s="1"/>
  <c r="K71" i="15"/>
  <c r="F71" i="15"/>
  <c r="G71" i="15" s="1"/>
  <c r="F29" i="15"/>
  <c r="G29" i="15" s="1"/>
  <c r="F26" i="15"/>
  <c r="G26" i="15" s="1"/>
  <c r="K70" i="15"/>
  <c r="F70" i="15"/>
  <c r="G70" i="15" s="1"/>
  <c r="K69" i="15"/>
  <c r="F69" i="15"/>
  <c r="G69" i="15" s="1"/>
  <c r="K68" i="15"/>
  <c r="F68" i="15"/>
  <c r="G68" i="15" s="1"/>
  <c r="F36" i="15"/>
  <c r="G36" i="15" s="1"/>
  <c r="F21" i="15"/>
  <c r="G21" i="15" s="1"/>
  <c r="K67" i="15"/>
  <c r="F67" i="15"/>
  <c r="G67" i="15" s="1"/>
  <c r="F24" i="15"/>
  <c r="G24" i="15" s="1"/>
  <c r="F27" i="15"/>
  <c r="G27" i="15" s="1"/>
  <c r="F54" i="15"/>
  <c r="G54" i="15" s="1"/>
  <c r="F19" i="15"/>
  <c r="G19" i="15" s="1"/>
  <c r="F23" i="15"/>
  <c r="G23" i="15" s="1"/>
  <c r="F9" i="15"/>
  <c r="G9" i="15" s="1"/>
  <c r="F28" i="15"/>
  <c r="G28" i="15" s="1"/>
  <c r="K28" i="15" s="1"/>
  <c r="F22" i="15"/>
  <c r="G22" i="15" s="1"/>
  <c r="F14" i="15"/>
  <c r="G14" i="15" s="1"/>
  <c r="F31" i="15"/>
  <c r="G31" i="15" s="1"/>
  <c r="K66" i="15"/>
  <c r="F66" i="15"/>
  <c r="G66" i="15" s="1"/>
  <c r="F49" i="15"/>
  <c r="G49" i="15" s="1"/>
  <c r="K49" i="15" s="1"/>
  <c r="K65" i="15"/>
  <c r="F65" i="15"/>
  <c r="G65" i="15" s="1"/>
  <c r="F11" i="15"/>
  <c r="G11" i="15" s="1"/>
  <c r="K11" i="15" s="1"/>
  <c r="F12" i="15"/>
  <c r="G12" i="15" s="1"/>
  <c r="F16" i="15"/>
  <c r="G16" i="15" s="1"/>
  <c r="F46" i="15"/>
  <c r="G46" i="15" s="1"/>
  <c r="F32" i="15"/>
  <c r="G32" i="15" s="1"/>
  <c r="F35" i="15"/>
  <c r="G35" i="15" s="1"/>
  <c r="F30" i="15"/>
  <c r="G30" i="15" s="1"/>
  <c r="F6" i="15"/>
  <c r="G6" i="15" s="1"/>
  <c r="F51" i="15"/>
  <c r="G51" i="15" s="1"/>
  <c r="F17" i="15"/>
  <c r="G17" i="15" s="1"/>
  <c r="F59" i="15"/>
  <c r="G59" i="15" s="1"/>
  <c r="K64" i="15"/>
  <c r="F64" i="15"/>
  <c r="G64" i="15" s="1"/>
  <c r="F47" i="15"/>
  <c r="G47" i="15" s="1"/>
  <c r="K47" i="15" s="1"/>
  <c r="F56" i="15"/>
  <c r="G56" i="15" s="1"/>
  <c r="F60" i="15"/>
  <c r="G60" i="15" s="1"/>
  <c r="K63" i="15"/>
  <c r="F63" i="15"/>
  <c r="G63" i="15" s="1"/>
  <c r="K62" i="15"/>
  <c r="F62" i="15"/>
  <c r="G62" i="15" s="1"/>
  <c r="F41" i="15"/>
  <c r="G41" i="15" s="1"/>
  <c r="F53" i="15"/>
  <c r="G53" i="15" s="1"/>
  <c r="F25" i="15"/>
  <c r="G25" i="15" s="1"/>
  <c r="K25" i="15" s="1"/>
  <c r="F61" i="15"/>
  <c r="G61" i="15" s="1"/>
  <c r="K61" i="15" s="1"/>
  <c r="F44" i="15"/>
  <c r="G44" i="15" s="1"/>
  <c r="F42" i="15"/>
  <c r="G42" i="15" s="1"/>
  <c r="F45" i="15"/>
  <c r="G45" i="15" s="1"/>
  <c r="F39" i="15"/>
  <c r="G39" i="15" s="1"/>
  <c r="F8" i="15"/>
  <c r="G8" i="15" s="1"/>
  <c r="F48" i="15"/>
  <c r="G48" i="15" s="1"/>
  <c r="K48" i="15" s="1"/>
  <c r="F58" i="15"/>
  <c r="G58" i="15" s="1"/>
  <c r="F7" i="15"/>
  <c r="G7" i="15" s="1"/>
  <c r="F50" i="15"/>
  <c r="G50" i="15" s="1"/>
  <c r="K50" i="15" s="1"/>
  <c r="F34" i="15"/>
  <c r="G34" i="15" s="1"/>
  <c r="K34" i="15" s="1"/>
  <c r="F10" i="15"/>
  <c r="G10" i="15" s="1"/>
  <c r="F55" i="15"/>
  <c r="G55" i="15" s="1"/>
  <c r="I79" i="14"/>
  <c r="H79" i="14"/>
  <c r="K78" i="14"/>
  <c r="F78" i="14"/>
  <c r="G78" i="14" s="1"/>
  <c r="K77" i="14"/>
  <c r="F77" i="14"/>
  <c r="G77" i="14" s="1"/>
  <c r="K76" i="14"/>
  <c r="F76" i="14"/>
  <c r="G76" i="14" s="1"/>
  <c r="F58" i="14"/>
  <c r="G58" i="14" s="1"/>
  <c r="F6" i="14"/>
  <c r="G6" i="14" s="1"/>
  <c r="F35" i="14"/>
  <c r="G35" i="14" s="1"/>
  <c r="F60" i="14"/>
  <c r="G60" i="14" s="1"/>
  <c r="F22" i="14"/>
  <c r="G22" i="14" s="1"/>
  <c r="F42" i="14"/>
  <c r="G42" i="14" s="1"/>
  <c r="K75" i="14"/>
  <c r="F75" i="14"/>
  <c r="G75" i="14" s="1"/>
  <c r="F9" i="14"/>
  <c r="G9" i="14" s="1"/>
  <c r="F24" i="14"/>
  <c r="G24" i="14" s="1"/>
  <c r="F68" i="14"/>
  <c r="G68" i="14" s="1"/>
  <c r="F51" i="14"/>
  <c r="G51" i="14" s="1"/>
  <c r="F32" i="14"/>
  <c r="G32" i="14" s="1"/>
  <c r="F29" i="14"/>
  <c r="G29" i="14" s="1"/>
  <c r="K29" i="14" s="1"/>
  <c r="F40" i="14"/>
  <c r="G40" i="14" s="1"/>
  <c r="F18" i="14"/>
  <c r="G18" i="14" s="1"/>
  <c r="F28" i="14"/>
  <c r="G28" i="14" s="1"/>
  <c r="F17" i="14"/>
  <c r="G17" i="14" s="1"/>
  <c r="F13" i="14"/>
  <c r="G13" i="14" s="1"/>
  <c r="F12" i="14"/>
  <c r="G12" i="14" s="1"/>
  <c r="K12" i="14" s="1"/>
  <c r="K74" i="14"/>
  <c r="F74" i="14"/>
  <c r="G74" i="14" s="1"/>
  <c r="F11" i="14"/>
  <c r="G11" i="14" s="1"/>
  <c r="F15" i="14"/>
  <c r="G15" i="14" s="1"/>
  <c r="F54" i="14"/>
  <c r="G54" i="14" s="1"/>
  <c r="F20" i="14"/>
  <c r="G20" i="14" s="1"/>
  <c r="K20" i="14" s="1"/>
  <c r="F34" i="14"/>
  <c r="G34" i="14" s="1"/>
  <c r="F14" i="14"/>
  <c r="G14" i="14" s="1"/>
  <c r="F53" i="14"/>
  <c r="G53" i="14" s="1"/>
  <c r="F48" i="14"/>
  <c r="G48" i="14" s="1"/>
  <c r="K48" i="14" s="1"/>
  <c r="F31" i="14"/>
  <c r="G31" i="14" s="1"/>
  <c r="F67" i="14"/>
  <c r="G67" i="14" s="1"/>
  <c r="F30" i="14"/>
  <c r="G30" i="14" s="1"/>
  <c r="F44" i="14"/>
  <c r="G44" i="14" s="1"/>
  <c r="F39" i="14"/>
  <c r="G39" i="14" s="1"/>
  <c r="F49" i="14"/>
  <c r="G49" i="14" s="1"/>
  <c r="K73" i="14"/>
  <c r="F73" i="14"/>
  <c r="G73" i="14" s="1"/>
  <c r="F45" i="14"/>
  <c r="G45" i="14" s="1"/>
  <c r="K72" i="14"/>
  <c r="F72" i="14"/>
  <c r="G72" i="14" s="1"/>
  <c r="F16" i="14"/>
  <c r="G16" i="14" s="1"/>
  <c r="F10" i="14"/>
  <c r="G10" i="14" s="1"/>
  <c r="K10" i="14" s="1"/>
  <c r="F57" i="14"/>
  <c r="G57" i="14" s="1"/>
  <c r="F27" i="14"/>
  <c r="G27" i="14" s="1"/>
  <c r="K71" i="14"/>
  <c r="F71" i="14"/>
  <c r="G71" i="14" s="1"/>
  <c r="F43" i="14"/>
  <c r="G43" i="14" s="1"/>
  <c r="K43" i="14" s="1"/>
  <c r="F23" i="14"/>
  <c r="G23" i="14" s="1"/>
  <c r="K70" i="14"/>
  <c r="F70" i="14"/>
  <c r="G70" i="14" s="1"/>
  <c r="F63" i="14"/>
  <c r="G63" i="14" s="1"/>
  <c r="F59" i="14"/>
  <c r="G59" i="14" s="1"/>
  <c r="F64" i="14"/>
  <c r="G64" i="14" s="1"/>
  <c r="F56" i="14"/>
  <c r="G56" i="14" s="1"/>
  <c r="K56" i="14" s="1"/>
  <c r="F50" i="14"/>
  <c r="G50" i="14" s="1"/>
  <c r="F19" i="14"/>
  <c r="G19" i="14" s="1"/>
  <c r="K69" i="14"/>
  <c r="F69" i="14"/>
  <c r="G69" i="14" s="1"/>
  <c r="F8" i="14"/>
  <c r="G8" i="14" s="1"/>
  <c r="F52" i="14"/>
  <c r="G52" i="14" s="1"/>
  <c r="F21" i="14"/>
  <c r="G21" i="14" s="1"/>
  <c r="K21" i="14" s="1"/>
  <c r="F65" i="14"/>
  <c r="G65" i="14" s="1"/>
  <c r="F55" i="14"/>
  <c r="G55" i="14" s="1"/>
  <c r="K55" i="14" s="1"/>
  <c r="F26" i="14"/>
  <c r="G26" i="14" s="1"/>
  <c r="K26" i="14" s="1"/>
  <c r="F37" i="14"/>
  <c r="G37" i="14" s="1"/>
  <c r="F33" i="14"/>
  <c r="G33" i="14" s="1"/>
  <c r="F41" i="14"/>
  <c r="G41" i="14" s="1"/>
  <c r="F46" i="14"/>
  <c r="G46" i="14" s="1"/>
  <c r="F61" i="14"/>
  <c r="G61" i="14" s="1"/>
  <c r="K61" i="14" s="1"/>
  <c r="F62" i="14"/>
  <c r="G62" i="14" s="1"/>
  <c r="F38" i="14"/>
  <c r="G38" i="14" s="1"/>
  <c r="F7" i="14"/>
  <c r="G7" i="14" s="1"/>
  <c r="F25" i="14"/>
  <c r="G25" i="14" s="1"/>
  <c r="F36" i="14"/>
  <c r="G36" i="14" s="1"/>
  <c r="F66" i="14"/>
  <c r="G66" i="14" s="1"/>
  <c r="F47" i="14"/>
  <c r="G47" i="14" s="1"/>
  <c r="R79" i="13"/>
  <c r="Q79" i="13"/>
  <c r="N79" i="13"/>
  <c r="M79" i="13"/>
  <c r="I64" i="13"/>
  <c r="H64" i="13"/>
  <c r="T64" i="13"/>
  <c r="F64" i="13"/>
  <c r="G64" i="13" s="1"/>
  <c r="I9" i="13"/>
  <c r="H9" i="13"/>
  <c r="T9" i="13"/>
  <c r="P9" i="13"/>
  <c r="F9" i="13"/>
  <c r="G9" i="13" s="1"/>
  <c r="I40" i="13"/>
  <c r="H40" i="13"/>
  <c r="T40" i="13"/>
  <c r="F40" i="13"/>
  <c r="G40" i="13" s="1"/>
  <c r="I78" i="13"/>
  <c r="H78" i="13"/>
  <c r="T78" i="13"/>
  <c r="F78" i="13"/>
  <c r="G78" i="13" s="1"/>
  <c r="I10" i="13"/>
  <c r="H10" i="13"/>
  <c r="T10" i="13"/>
  <c r="F10" i="13"/>
  <c r="G10" i="13" s="1"/>
  <c r="I43" i="13"/>
  <c r="H43" i="13"/>
  <c r="T43" i="13"/>
  <c r="F43" i="13"/>
  <c r="G43" i="13" s="1"/>
  <c r="I17" i="13"/>
  <c r="H17" i="13"/>
  <c r="F17" i="13"/>
  <c r="G17" i="13" s="1"/>
  <c r="I34" i="13"/>
  <c r="H34" i="13"/>
  <c r="F34" i="13"/>
  <c r="G34" i="13" s="1"/>
  <c r="T34" i="13" s="1"/>
  <c r="I44" i="13"/>
  <c r="H44" i="13"/>
  <c r="T44" i="13"/>
  <c r="F44" i="13"/>
  <c r="G44" i="13" s="1"/>
  <c r="I46" i="13"/>
  <c r="H46" i="13"/>
  <c r="F46" i="13"/>
  <c r="G46" i="13" s="1"/>
  <c r="I11" i="13"/>
  <c r="H11" i="13"/>
  <c r="F11" i="13"/>
  <c r="G11" i="13" s="1"/>
  <c r="I33" i="13"/>
  <c r="H33" i="13"/>
  <c r="F33" i="13"/>
  <c r="G33" i="13" s="1"/>
  <c r="T33" i="13" s="1"/>
  <c r="I70" i="13"/>
  <c r="H70" i="13"/>
  <c r="F70" i="13"/>
  <c r="G70" i="13" s="1"/>
  <c r="I61" i="13"/>
  <c r="H61" i="13"/>
  <c r="F61" i="13"/>
  <c r="G61" i="13" s="1"/>
  <c r="T61" i="13" s="1"/>
  <c r="I31" i="13"/>
  <c r="H31" i="13"/>
  <c r="F31" i="13"/>
  <c r="G31" i="13" s="1"/>
  <c r="P31" i="13" s="1"/>
  <c r="I35" i="13"/>
  <c r="H35" i="13"/>
  <c r="T35" i="13"/>
  <c r="G35" i="13"/>
  <c r="F35" i="13"/>
  <c r="I63" i="13"/>
  <c r="H63" i="13"/>
  <c r="F63" i="13"/>
  <c r="G63" i="13" s="1"/>
  <c r="I22" i="13"/>
  <c r="H22" i="13"/>
  <c r="T22" i="13"/>
  <c r="F22" i="13"/>
  <c r="G22" i="13" s="1"/>
  <c r="I26" i="13"/>
  <c r="H26" i="13"/>
  <c r="T26" i="13"/>
  <c r="F26" i="13"/>
  <c r="G26" i="13" s="1"/>
  <c r="I18" i="13"/>
  <c r="H18" i="13"/>
  <c r="F18" i="13"/>
  <c r="G18" i="13" s="1"/>
  <c r="I14" i="13"/>
  <c r="H14" i="13"/>
  <c r="F14" i="13"/>
  <c r="G14" i="13" s="1"/>
  <c r="I48" i="13"/>
  <c r="H48" i="13"/>
  <c r="T48" i="13"/>
  <c r="F48" i="13"/>
  <c r="G48" i="13" s="1"/>
  <c r="P48" i="13" s="1"/>
  <c r="I25" i="13"/>
  <c r="H25" i="13"/>
  <c r="T25" i="13"/>
  <c r="F25" i="13"/>
  <c r="G25" i="13" s="1"/>
  <c r="P25" i="13" s="1"/>
  <c r="I16" i="13"/>
  <c r="H16" i="13"/>
  <c r="F16" i="13"/>
  <c r="G16" i="13" s="1"/>
  <c r="I38" i="13"/>
  <c r="H38" i="13"/>
  <c r="T38" i="13"/>
  <c r="F38" i="13"/>
  <c r="G38" i="13" s="1"/>
  <c r="I71" i="13"/>
  <c r="H71" i="13"/>
  <c r="T71" i="13"/>
  <c r="F71" i="13"/>
  <c r="G71" i="13" s="1"/>
  <c r="I20" i="13"/>
  <c r="H20" i="13"/>
  <c r="T20" i="13"/>
  <c r="F20" i="13"/>
  <c r="G20" i="13" s="1"/>
  <c r="I39" i="13"/>
  <c r="H39" i="13"/>
  <c r="T39" i="13"/>
  <c r="F39" i="13"/>
  <c r="G39" i="13" s="1"/>
  <c r="I24" i="13"/>
  <c r="H24" i="13"/>
  <c r="T24" i="13"/>
  <c r="F24" i="13"/>
  <c r="G24" i="13" s="1"/>
  <c r="I73" i="13"/>
  <c r="H73" i="13"/>
  <c r="F73" i="13"/>
  <c r="G73" i="13" s="1"/>
  <c r="P73" i="13" s="1"/>
  <c r="I68" i="13"/>
  <c r="H68" i="13"/>
  <c r="T68" i="13"/>
  <c r="F68" i="13"/>
  <c r="G68" i="13" s="1"/>
  <c r="I36" i="13"/>
  <c r="H36" i="13"/>
  <c r="T36" i="13"/>
  <c r="F36" i="13"/>
  <c r="G36" i="13" s="1"/>
  <c r="I32" i="13"/>
  <c r="H32" i="13"/>
  <c r="F32" i="13"/>
  <c r="G32" i="13" s="1"/>
  <c r="I74" i="13"/>
  <c r="H74" i="13"/>
  <c r="F74" i="13"/>
  <c r="G74" i="13" s="1"/>
  <c r="I30" i="13"/>
  <c r="H30" i="13"/>
  <c r="F30" i="13"/>
  <c r="G30" i="13" s="1"/>
  <c r="T30" i="13" s="1"/>
  <c r="I47" i="13"/>
  <c r="H47" i="13"/>
  <c r="F47" i="13"/>
  <c r="G47" i="13" s="1"/>
  <c r="I49" i="13"/>
  <c r="H49" i="13"/>
  <c r="F49" i="13"/>
  <c r="G49" i="13" s="1"/>
  <c r="I8" i="13"/>
  <c r="H8" i="13"/>
  <c r="T8" i="13"/>
  <c r="P8" i="13"/>
  <c r="F8" i="13"/>
  <c r="G8" i="13" s="1"/>
  <c r="I19" i="13"/>
  <c r="H19" i="13"/>
  <c r="F19" i="13"/>
  <c r="G19" i="13" s="1"/>
  <c r="I7" i="13"/>
  <c r="H7" i="13"/>
  <c r="T7" i="13"/>
  <c r="P7" i="13"/>
  <c r="F7" i="13"/>
  <c r="G7" i="13" s="1"/>
  <c r="I12" i="13"/>
  <c r="H12" i="13"/>
  <c r="T12" i="13"/>
  <c r="F12" i="13"/>
  <c r="G12" i="13" s="1"/>
  <c r="P12" i="13" s="1"/>
  <c r="I62" i="13"/>
  <c r="H62" i="13"/>
  <c r="F62" i="13"/>
  <c r="G62" i="13" s="1"/>
  <c r="I60" i="13"/>
  <c r="H60" i="13"/>
  <c r="F60" i="13"/>
  <c r="G60" i="13" s="1"/>
  <c r="T60" i="13" s="1"/>
  <c r="I15" i="13"/>
  <c r="H15" i="13"/>
  <c r="F15" i="13"/>
  <c r="G15" i="13" s="1"/>
  <c r="I51" i="13"/>
  <c r="H51" i="13"/>
  <c r="F51" i="13"/>
  <c r="G51" i="13" s="1"/>
  <c r="I55" i="13"/>
  <c r="H55" i="13"/>
  <c r="F55" i="13"/>
  <c r="G55" i="13" s="1"/>
  <c r="I41" i="13"/>
  <c r="H41" i="13"/>
  <c r="F41" i="13"/>
  <c r="G41" i="13" s="1"/>
  <c r="I75" i="13"/>
  <c r="H75" i="13"/>
  <c r="T75" i="13"/>
  <c r="F75" i="13"/>
  <c r="G75" i="13" s="1"/>
  <c r="I29" i="13"/>
  <c r="H29" i="13"/>
  <c r="F29" i="13"/>
  <c r="G29" i="13" s="1"/>
  <c r="I53" i="13"/>
  <c r="H53" i="13"/>
  <c r="F53" i="13"/>
  <c r="G53" i="13" s="1"/>
  <c r="T53" i="13" s="1"/>
  <c r="I77" i="13"/>
  <c r="H77" i="13"/>
  <c r="F77" i="13"/>
  <c r="G77" i="13" s="1"/>
  <c r="I65" i="13"/>
  <c r="H65" i="13"/>
  <c r="F65" i="13"/>
  <c r="G65" i="13" s="1"/>
  <c r="I58" i="13"/>
  <c r="H58" i="13"/>
  <c r="T58" i="13"/>
  <c r="F58" i="13"/>
  <c r="G58" i="13" s="1"/>
  <c r="I13" i="13"/>
  <c r="H13" i="13"/>
  <c r="T13" i="13"/>
  <c r="F13" i="13"/>
  <c r="G13" i="13" s="1"/>
  <c r="I69" i="13"/>
  <c r="H69" i="13"/>
  <c r="T69" i="13"/>
  <c r="F69" i="13"/>
  <c r="G69" i="13" s="1"/>
  <c r="I6" i="13"/>
  <c r="H6" i="13"/>
  <c r="T6" i="13"/>
  <c r="P6" i="13"/>
  <c r="F6" i="13"/>
  <c r="G6" i="13" s="1"/>
  <c r="I37" i="13"/>
  <c r="H37" i="13"/>
  <c r="T37" i="13"/>
  <c r="F37" i="13"/>
  <c r="G37" i="13" s="1"/>
  <c r="I23" i="13"/>
  <c r="H23" i="13"/>
  <c r="T23" i="13"/>
  <c r="F23" i="13"/>
  <c r="G23" i="13" s="1"/>
  <c r="I76" i="13"/>
  <c r="H76" i="13"/>
  <c r="T76" i="13"/>
  <c r="F76" i="13"/>
  <c r="G76" i="13" s="1"/>
  <c r="I54" i="13"/>
  <c r="H54" i="13"/>
  <c r="F54" i="13"/>
  <c r="G54" i="13" s="1"/>
  <c r="I27" i="13"/>
  <c r="H27" i="13"/>
  <c r="F27" i="13"/>
  <c r="G27" i="13" s="1"/>
  <c r="I52" i="13"/>
  <c r="H52" i="13"/>
  <c r="T52" i="13"/>
  <c r="F52" i="13"/>
  <c r="G52" i="13" s="1"/>
  <c r="I57" i="13"/>
  <c r="H57" i="13"/>
  <c r="F57" i="13"/>
  <c r="G57" i="13" s="1"/>
  <c r="I50" i="13"/>
  <c r="H50" i="13"/>
  <c r="T50" i="13"/>
  <c r="F50" i="13"/>
  <c r="G50" i="13" s="1"/>
  <c r="I59" i="13"/>
  <c r="H59" i="13"/>
  <c r="F59" i="13"/>
  <c r="G59" i="13" s="1"/>
  <c r="I66" i="13"/>
  <c r="H66" i="13"/>
  <c r="T66" i="13"/>
  <c r="F66" i="13"/>
  <c r="G66" i="13" s="1"/>
  <c r="P66" i="13" s="1"/>
  <c r="I72" i="13"/>
  <c r="H72" i="13"/>
  <c r="T72" i="13"/>
  <c r="F72" i="13"/>
  <c r="G72" i="13" s="1"/>
  <c r="P72" i="13" s="1"/>
  <c r="I42" i="13"/>
  <c r="H42" i="13"/>
  <c r="T42" i="13"/>
  <c r="F42" i="13"/>
  <c r="G42" i="13" s="1"/>
  <c r="I56" i="13"/>
  <c r="H56" i="13"/>
  <c r="T56" i="13"/>
  <c r="F56" i="13"/>
  <c r="G56" i="13" s="1"/>
  <c r="I28" i="13"/>
  <c r="H28" i="13"/>
  <c r="T28" i="13"/>
  <c r="F28" i="13"/>
  <c r="G28" i="13" s="1"/>
  <c r="I21" i="13"/>
  <c r="H21" i="13"/>
  <c r="T21" i="13"/>
  <c r="F21" i="13"/>
  <c r="G21" i="13" s="1"/>
  <c r="P21" i="13" s="1"/>
  <c r="I67" i="13"/>
  <c r="H67" i="13"/>
  <c r="T67" i="13"/>
  <c r="F67" i="13"/>
  <c r="G67" i="13" s="1"/>
  <c r="I45" i="13"/>
  <c r="H45" i="13"/>
  <c r="T45" i="13"/>
  <c r="F45" i="13"/>
  <c r="G45" i="13" s="1"/>
  <c r="R79" i="12"/>
  <c r="Q79" i="12"/>
  <c r="N79" i="12"/>
  <c r="M79" i="12"/>
  <c r="I30" i="12"/>
  <c r="H30" i="12"/>
  <c r="T30" i="12"/>
  <c r="F30" i="12"/>
  <c r="G30" i="12" s="1"/>
  <c r="I58" i="12"/>
  <c r="H58" i="12"/>
  <c r="T58" i="12"/>
  <c r="F58" i="12"/>
  <c r="G58" i="12" s="1"/>
  <c r="I38" i="12"/>
  <c r="H38" i="12"/>
  <c r="T38" i="12"/>
  <c r="F38" i="12"/>
  <c r="G38" i="12" s="1"/>
  <c r="I71" i="12"/>
  <c r="H71" i="12"/>
  <c r="T71" i="12"/>
  <c r="F71" i="12"/>
  <c r="G71" i="12" s="1"/>
  <c r="I37" i="12"/>
  <c r="H37" i="12"/>
  <c r="T37" i="12"/>
  <c r="F37" i="12"/>
  <c r="G37" i="12" s="1"/>
  <c r="P37" i="12" s="1"/>
  <c r="I34" i="12"/>
  <c r="H34" i="12"/>
  <c r="T34" i="12"/>
  <c r="F34" i="12"/>
  <c r="G34" i="12" s="1"/>
  <c r="I73" i="12"/>
  <c r="H73" i="12"/>
  <c r="F73" i="12"/>
  <c r="G73" i="12" s="1"/>
  <c r="I23" i="12"/>
  <c r="H23" i="12"/>
  <c r="F23" i="12"/>
  <c r="G23" i="12" s="1"/>
  <c r="I50" i="12"/>
  <c r="H50" i="12"/>
  <c r="T50" i="12"/>
  <c r="F50" i="12"/>
  <c r="G50" i="12" s="1"/>
  <c r="I54" i="12"/>
  <c r="H54" i="12"/>
  <c r="J54" i="12" s="1"/>
  <c r="F54" i="12"/>
  <c r="G54" i="12" s="1"/>
  <c r="T54" i="12" s="1"/>
  <c r="I53" i="12"/>
  <c r="H53" i="12"/>
  <c r="F53" i="12"/>
  <c r="G53" i="12" s="1"/>
  <c r="I24" i="12"/>
  <c r="H24" i="12"/>
  <c r="J24" i="12" s="1"/>
  <c r="F24" i="12"/>
  <c r="G24" i="12" s="1"/>
  <c r="I77" i="12"/>
  <c r="H77" i="12"/>
  <c r="F77" i="12"/>
  <c r="G77" i="12" s="1"/>
  <c r="I64" i="12"/>
  <c r="H64" i="12"/>
  <c r="F64" i="12"/>
  <c r="G64" i="12" s="1"/>
  <c r="I16" i="12"/>
  <c r="H16" i="12"/>
  <c r="F16" i="12"/>
  <c r="G16" i="12" s="1"/>
  <c r="P16" i="12" s="1"/>
  <c r="I56" i="12"/>
  <c r="H56" i="12"/>
  <c r="T56" i="12"/>
  <c r="F56" i="12"/>
  <c r="G56" i="12" s="1"/>
  <c r="I39" i="12"/>
  <c r="H39" i="12"/>
  <c r="F39" i="12"/>
  <c r="G39" i="12" s="1"/>
  <c r="I18" i="12"/>
  <c r="H18" i="12"/>
  <c r="F18" i="12"/>
  <c r="G18" i="12" s="1"/>
  <c r="I19" i="12"/>
  <c r="H19" i="12"/>
  <c r="F19" i="12"/>
  <c r="G19" i="12" s="1"/>
  <c r="I33" i="12"/>
  <c r="H33" i="12"/>
  <c r="F33" i="12"/>
  <c r="G33" i="12" s="1"/>
  <c r="P33" i="12" s="1"/>
  <c r="I26" i="12"/>
  <c r="H26" i="12"/>
  <c r="F26" i="12"/>
  <c r="G26" i="12" s="1"/>
  <c r="I70" i="12"/>
  <c r="H70" i="12"/>
  <c r="F70" i="12"/>
  <c r="G70" i="12" s="1"/>
  <c r="T70" i="12" s="1"/>
  <c r="I63" i="12"/>
  <c r="H63" i="12"/>
  <c r="F63" i="12"/>
  <c r="G63" i="12" s="1"/>
  <c r="I12" i="12"/>
  <c r="H12" i="12"/>
  <c r="F12" i="12"/>
  <c r="G12" i="12" s="1"/>
  <c r="P12" i="12" s="1"/>
  <c r="I29" i="12"/>
  <c r="H29" i="12"/>
  <c r="T29" i="12"/>
  <c r="F29" i="12"/>
  <c r="G29" i="12" s="1"/>
  <c r="P29" i="12" s="1"/>
  <c r="I72" i="12"/>
  <c r="H72" i="12"/>
  <c r="F72" i="12"/>
  <c r="G72" i="12" s="1"/>
  <c r="T72" i="12" s="1"/>
  <c r="I13" i="12"/>
  <c r="H13" i="12"/>
  <c r="T13" i="12"/>
  <c r="F13" i="12"/>
  <c r="G13" i="12" s="1"/>
  <c r="I66" i="12"/>
  <c r="H66" i="12"/>
  <c r="T66" i="12"/>
  <c r="F66" i="12"/>
  <c r="G66" i="12" s="1"/>
  <c r="I11" i="12"/>
  <c r="H11" i="12"/>
  <c r="T11" i="12"/>
  <c r="F11" i="12"/>
  <c r="G11" i="12" s="1"/>
  <c r="P11" i="12" s="1"/>
  <c r="I74" i="12"/>
  <c r="H74" i="12"/>
  <c r="F74" i="12"/>
  <c r="G74" i="12" s="1"/>
  <c r="T74" i="12" s="1"/>
  <c r="I68" i="12"/>
  <c r="H68" i="12"/>
  <c r="T68" i="12"/>
  <c r="F68" i="12"/>
  <c r="G68" i="12" s="1"/>
  <c r="I61" i="12"/>
  <c r="H61" i="12"/>
  <c r="T61" i="12"/>
  <c r="F61" i="12"/>
  <c r="G61" i="12" s="1"/>
  <c r="I15" i="12"/>
  <c r="H15" i="12"/>
  <c r="F15" i="12"/>
  <c r="G15" i="12" s="1"/>
  <c r="I65" i="12"/>
  <c r="H65" i="12"/>
  <c r="F65" i="12"/>
  <c r="G65" i="12" s="1"/>
  <c r="I28" i="12"/>
  <c r="H28" i="12"/>
  <c r="F28" i="12"/>
  <c r="G28" i="12" s="1"/>
  <c r="I43" i="12"/>
  <c r="H43" i="12"/>
  <c r="F43" i="12"/>
  <c r="G43" i="12" s="1"/>
  <c r="I52" i="12"/>
  <c r="H52" i="12"/>
  <c r="F52" i="12"/>
  <c r="G52" i="12" s="1"/>
  <c r="I7" i="12"/>
  <c r="H7" i="12"/>
  <c r="F7" i="12"/>
  <c r="G7" i="12" s="1"/>
  <c r="T7" i="12" s="1"/>
  <c r="I46" i="12"/>
  <c r="H46" i="12"/>
  <c r="F46" i="12"/>
  <c r="G46" i="12" s="1"/>
  <c r="P46" i="12" s="1"/>
  <c r="I8" i="12"/>
  <c r="H8" i="12"/>
  <c r="T8" i="12"/>
  <c r="F8" i="12"/>
  <c r="G8" i="12" s="1"/>
  <c r="I9" i="12"/>
  <c r="H9" i="12"/>
  <c r="F9" i="12"/>
  <c r="G9" i="12" s="1"/>
  <c r="I21" i="12"/>
  <c r="H21" i="12"/>
  <c r="F21" i="12"/>
  <c r="G21" i="12" s="1"/>
  <c r="T21" i="12" s="1"/>
  <c r="I55" i="12"/>
  <c r="H55" i="12"/>
  <c r="F55" i="12"/>
  <c r="G55" i="12" s="1"/>
  <c r="I17" i="12"/>
  <c r="H17" i="12"/>
  <c r="F17" i="12"/>
  <c r="G17" i="12" s="1"/>
  <c r="I69" i="12"/>
  <c r="H69" i="12"/>
  <c r="T69" i="12"/>
  <c r="F69" i="12"/>
  <c r="G69" i="12" s="1"/>
  <c r="I51" i="12"/>
  <c r="H51" i="12"/>
  <c r="F51" i="12"/>
  <c r="G51" i="12" s="1"/>
  <c r="I22" i="12"/>
  <c r="H22" i="12"/>
  <c r="F22" i="12"/>
  <c r="G22" i="12" s="1"/>
  <c r="P22" i="12" s="1"/>
  <c r="I59" i="12"/>
  <c r="H59" i="12"/>
  <c r="F59" i="12"/>
  <c r="G59" i="12" s="1"/>
  <c r="I10" i="12"/>
  <c r="H10" i="12"/>
  <c r="F10" i="12"/>
  <c r="G10" i="12" s="1"/>
  <c r="I35" i="12"/>
  <c r="H35" i="12"/>
  <c r="F35" i="12"/>
  <c r="G35" i="12" s="1"/>
  <c r="I78" i="12"/>
  <c r="H78" i="12"/>
  <c r="F78" i="12"/>
  <c r="G78" i="12" s="1"/>
  <c r="I75" i="12"/>
  <c r="H75" i="12"/>
  <c r="F75" i="12"/>
  <c r="G75" i="12" s="1"/>
  <c r="P75" i="12" s="1"/>
  <c r="I47" i="12"/>
  <c r="H47" i="12"/>
  <c r="F47" i="12"/>
  <c r="G47" i="12" s="1"/>
  <c r="T47" i="12" s="1"/>
  <c r="I14" i="12"/>
  <c r="H14" i="12"/>
  <c r="T14" i="12"/>
  <c r="F14" i="12"/>
  <c r="G14" i="12" s="1"/>
  <c r="I67" i="12"/>
  <c r="H67" i="12"/>
  <c r="F67" i="12"/>
  <c r="G67" i="12" s="1"/>
  <c r="I6" i="12"/>
  <c r="H6" i="12"/>
  <c r="F6" i="12"/>
  <c r="G6" i="12" s="1"/>
  <c r="P6" i="12" s="1"/>
  <c r="I25" i="12"/>
  <c r="H25" i="12"/>
  <c r="T25" i="12"/>
  <c r="F25" i="12"/>
  <c r="G25" i="12" s="1"/>
  <c r="P25" i="12" s="1"/>
  <c r="I31" i="12"/>
  <c r="H31" i="12"/>
  <c r="F31" i="12"/>
  <c r="G31" i="12" s="1"/>
  <c r="I76" i="12"/>
  <c r="H76" i="12"/>
  <c r="T76" i="12"/>
  <c r="F76" i="12"/>
  <c r="G76" i="12" s="1"/>
  <c r="I62" i="12"/>
  <c r="H62" i="12"/>
  <c r="F62" i="12"/>
  <c r="G62" i="12" s="1"/>
  <c r="I32" i="12"/>
  <c r="H32" i="12"/>
  <c r="F32" i="12"/>
  <c r="G32" i="12" s="1"/>
  <c r="I45" i="12"/>
  <c r="H45" i="12"/>
  <c r="F45" i="12"/>
  <c r="G45" i="12" s="1"/>
  <c r="I49" i="12"/>
  <c r="H49" i="12"/>
  <c r="F49" i="12"/>
  <c r="G49" i="12" s="1"/>
  <c r="I48" i="12"/>
  <c r="H48" i="12"/>
  <c r="T48" i="12"/>
  <c r="F48" i="12"/>
  <c r="G48" i="12" s="1"/>
  <c r="P48" i="12" s="1"/>
  <c r="I60" i="12"/>
  <c r="H60" i="12"/>
  <c r="F60" i="12"/>
  <c r="G60" i="12" s="1"/>
  <c r="T60" i="12" s="1"/>
  <c r="I40" i="12"/>
  <c r="H40" i="12"/>
  <c r="F40" i="12"/>
  <c r="G40" i="12" s="1"/>
  <c r="I36" i="12"/>
  <c r="H36" i="12"/>
  <c r="F36" i="12"/>
  <c r="G36" i="12" s="1"/>
  <c r="I44" i="12"/>
  <c r="H44" i="12"/>
  <c r="T44" i="12"/>
  <c r="F44" i="12"/>
  <c r="G44" i="12" s="1"/>
  <c r="I57" i="12"/>
  <c r="H57" i="12"/>
  <c r="F57" i="12"/>
  <c r="G57" i="12" s="1"/>
  <c r="I42" i="12"/>
  <c r="H42" i="12"/>
  <c r="F42" i="12"/>
  <c r="G42" i="12" s="1"/>
  <c r="I20" i="12"/>
  <c r="H20" i="12"/>
  <c r="T20" i="12"/>
  <c r="F20" i="12"/>
  <c r="G20" i="12" s="1"/>
  <c r="I41" i="12"/>
  <c r="H41" i="12"/>
  <c r="F41" i="12"/>
  <c r="G41" i="12" s="1"/>
  <c r="I27" i="12"/>
  <c r="H27" i="12"/>
  <c r="T27" i="12"/>
  <c r="F27" i="12"/>
  <c r="G27" i="12" s="1"/>
  <c r="P27" i="12" s="1"/>
  <c r="R79" i="11"/>
  <c r="Q79" i="11"/>
  <c r="N79" i="11"/>
  <c r="M79" i="11"/>
  <c r="I69" i="11"/>
  <c r="H69" i="11"/>
  <c r="T69" i="11"/>
  <c r="F69" i="11"/>
  <c r="I62" i="11"/>
  <c r="H62" i="11"/>
  <c r="T62" i="11"/>
  <c r="F62" i="11"/>
  <c r="I71" i="11"/>
  <c r="H71" i="11"/>
  <c r="T71" i="11"/>
  <c r="F71" i="11"/>
  <c r="P71" i="11" s="1"/>
  <c r="I68" i="11"/>
  <c r="H68" i="11"/>
  <c r="T68" i="11"/>
  <c r="F68" i="11"/>
  <c r="I12" i="11"/>
  <c r="H12" i="11"/>
  <c r="T12" i="11"/>
  <c r="F12" i="11"/>
  <c r="I72" i="11"/>
  <c r="H72" i="11"/>
  <c r="T72" i="11"/>
  <c r="F72" i="11"/>
  <c r="I55" i="11"/>
  <c r="H55" i="11"/>
  <c r="T55" i="11"/>
  <c r="F55" i="11"/>
  <c r="I45" i="11"/>
  <c r="H45" i="11"/>
  <c r="T45" i="11"/>
  <c r="F45" i="11"/>
  <c r="I32" i="11"/>
  <c r="H32" i="11"/>
  <c r="T32" i="11"/>
  <c r="F32" i="11"/>
  <c r="I51" i="11"/>
  <c r="H51" i="11"/>
  <c r="F51" i="11"/>
  <c r="I26" i="11"/>
  <c r="H26" i="11"/>
  <c r="F26" i="11"/>
  <c r="I54" i="11"/>
  <c r="H54" i="11"/>
  <c r="T54" i="11"/>
  <c r="F54" i="11"/>
  <c r="I77" i="11"/>
  <c r="H77" i="11"/>
  <c r="T77" i="11"/>
  <c r="F77" i="11"/>
  <c r="I53" i="11"/>
  <c r="H53" i="11"/>
  <c r="F53" i="11"/>
  <c r="I60" i="11"/>
  <c r="H60" i="11"/>
  <c r="F60" i="11"/>
  <c r="I20" i="11"/>
  <c r="H20" i="11"/>
  <c r="T20" i="11"/>
  <c r="F20" i="11"/>
  <c r="I38" i="11"/>
  <c r="H38" i="11"/>
  <c r="F38" i="11"/>
  <c r="I37" i="11"/>
  <c r="H37" i="11"/>
  <c r="F37" i="11"/>
  <c r="I31" i="11"/>
  <c r="H31" i="11"/>
  <c r="F31" i="11"/>
  <c r="I40" i="11"/>
  <c r="H40" i="11"/>
  <c r="T40" i="11"/>
  <c r="F40" i="11"/>
  <c r="I70" i="11"/>
  <c r="H70" i="11"/>
  <c r="F70" i="11"/>
  <c r="I15" i="11"/>
  <c r="H15" i="11"/>
  <c r="F15" i="11"/>
  <c r="P15" i="11" s="1"/>
  <c r="I18" i="11"/>
  <c r="H18" i="11"/>
  <c r="F18" i="11"/>
  <c r="I8" i="11"/>
  <c r="H8" i="11"/>
  <c r="T8" i="11"/>
  <c r="F8" i="11"/>
  <c r="I13" i="11"/>
  <c r="H13" i="11"/>
  <c r="T13" i="11"/>
  <c r="F13" i="11"/>
  <c r="I39" i="11"/>
  <c r="H39" i="11"/>
  <c r="F39" i="11"/>
  <c r="I19" i="11"/>
  <c r="H19" i="11"/>
  <c r="T19" i="11"/>
  <c r="F19" i="11"/>
  <c r="I14" i="11"/>
  <c r="H14" i="11"/>
  <c r="T14" i="11"/>
  <c r="F14" i="11"/>
  <c r="I74" i="11"/>
  <c r="H74" i="11"/>
  <c r="T74" i="11"/>
  <c r="F74" i="11"/>
  <c r="I64" i="11"/>
  <c r="H64" i="11"/>
  <c r="F64" i="11"/>
  <c r="I78" i="11"/>
  <c r="H78" i="11"/>
  <c r="T78" i="11"/>
  <c r="F78" i="11"/>
  <c r="I7" i="11"/>
  <c r="H7" i="11"/>
  <c r="T7" i="11"/>
  <c r="F7" i="11"/>
  <c r="I11" i="11"/>
  <c r="H11" i="11"/>
  <c r="F11" i="11"/>
  <c r="I66" i="11"/>
  <c r="H66" i="11"/>
  <c r="F66" i="11"/>
  <c r="I36" i="11"/>
  <c r="H36" i="11"/>
  <c r="F36" i="11"/>
  <c r="I35" i="11"/>
  <c r="H35" i="11"/>
  <c r="F35" i="11"/>
  <c r="I57" i="11"/>
  <c r="H57" i="11"/>
  <c r="F57" i="11"/>
  <c r="I52" i="11"/>
  <c r="H52" i="11"/>
  <c r="F52" i="11"/>
  <c r="P52" i="11" s="1"/>
  <c r="I42" i="11"/>
  <c r="H42" i="11"/>
  <c r="F42" i="11"/>
  <c r="I17" i="11"/>
  <c r="H17" i="11"/>
  <c r="T17" i="11"/>
  <c r="F17" i="11"/>
  <c r="I27" i="11"/>
  <c r="H27" i="11"/>
  <c r="F27" i="11"/>
  <c r="I23" i="11"/>
  <c r="H23" i="11"/>
  <c r="F23" i="11"/>
  <c r="I47" i="11"/>
  <c r="H47" i="11"/>
  <c r="F47" i="11"/>
  <c r="I34" i="11"/>
  <c r="H34" i="11"/>
  <c r="F34" i="11"/>
  <c r="I41" i="11"/>
  <c r="H41" i="11"/>
  <c r="T41" i="11"/>
  <c r="F41" i="11"/>
  <c r="I63" i="11"/>
  <c r="H63" i="11"/>
  <c r="F63" i="11"/>
  <c r="I33" i="11"/>
  <c r="H33" i="11"/>
  <c r="F33" i="11"/>
  <c r="I67" i="11"/>
  <c r="H67" i="11"/>
  <c r="F67" i="11"/>
  <c r="I73" i="11"/>
  <c r="H73" i="11"/>
  <c r="F73" i="11"/>
  <c r="I9" i="11"/>
  <c r="H9" i="11"/>
  <c r="F9" i="11"/>
  <c r="I75" i="11"/>
  <c r="H75" i="11"/>
  <c r="F75" i="11"/>
  <c r="I76" i="11"/>
  <c r="H76" i="11"/>
  <c r="T76" i="11"/>
  <c r="F76" i="11"/>
  <c r="I44" i="11"/>
  <c r="H44" i="11"/>
  <c r="F44" i="11"/>
  <c r="I16" i="11"/>
  <c r="H16" i="11"/>
  <c r="T16" i="11"/>
  <c r="F16" i="11"/>
  <c r="I61" i="11"/>
  <c r="H61" i="11"/>
  <c r="F61" i="11"/>
  <c r="I10" i="11"/>
  <c r="H10" i="11"/>
  <c r="F10" i="11"/>
  <c r="I43" i="11"/>
  <c r="H43" i="11"/>
  <c r="T43" i="11"/>
  <c r="F43" i="11"/>
  <c r="I25" i="11"/>
  <c r="H25" i="11"/>
  <c r="F25" i="11"/>
  <c r="I29" i="11"/>
  <c r="H29" i="11"/>
  <c r="T29" i="11"/>
  <c r="F29" i="11"/>
  <c r="I49" i="11"/>
  <c r="H49" i="11"/>
  <c r="F49" i="11"/>
  <c r="I24" i="11"/>
  <c r="H24" i="11"/>
  <c r="F24" i="11"/>
  <c r="I30" i="11"/>
  <c r="H30" i="11"/>
  <c r="F30" i="11"/>
  <c r="I22" i="11"/>
  <c r="H22" i="11"/>
  <c r="F22" i="11"/>
  <c r="I6" i="11"/>
  <c r="H6" i="11"/>
  <c r="F6" i="11"/>
  <c r="I48" i="11"/>
  <c r="H48" i="11"/>
  <c r="F48" i="11"/>
  <c r="I58" i="11"/>
  <c r="H58" i="11"/>
  <c r="T58" i="11"/>
  <c r="F58" i="11"/>
  <c r="I59" i="11"/>
  <c r="H59" i="11"/>
  <c r="T59" i="11"/>
  <c r="F59" i="11"/>
  <c r="I46" i="11"/>
  <c r="H46" i="11"/>
  <c r="F46" i="11"/>
  <c r="I50" i="11"/>
  <c r="H50" i="11"/>
  <c r="T50" i="11"/>
  <c r="F50" i="11"/>
  <c r="I65" i="11"/>
  <c r="H65" i="11"/>
  <c r="T65" i="11"/>
  <c r="F65" i="11"/>
  <c r="I21" i="11"/>
  <c r="H21" i="11"/>
  <c r="F21" i="11"/>
  <c r="I56" i="11"/>
  <c r="H56" i="11"/>
  <c r="T56" i="11"/>
  <c r="F56" i="11"/>
  <c r="I28" i="11"/>
  <c r="H28" i="11"/>
  <c r="T28" i="11"/>
  <c r="F28" i="11"/>
  <c r="D16" i="21" l="1"/>
  <c r="I11" i="20"/>
  <c r="E8" i="21"/>
  <c r="E9" i="21"/>
  <c r="E11" i="21"/>
  <c r="E13" i="21"/>
  <c r="E15" i="21"/>
  <c r="E12" i="21"/>
  <c r="C16" i="21"/>
  <c r="J8" i="20"/>
  <c r="J76" i="12"/>
  <c r="J28" i="13"/>
  <c r="J61" i="13"/>
  <c r="J43" i="12"/>
  <c r="K43" i="12" s="1"/>
  <c r="J29" i="11"/>
  <c r="J62" i="12"/>
  <c r="J62" i="13"/>
  <c r="J73" i="12"/>
  <c r="K73" i="12" s="1"/>
  <c r="J67" i="11"/>
  <c r="J63" i="11"/>
  <c r="K63" i="11" s="1"/>
  <c r="J42" i="12"/>
  <c r="K42" i="12" s="1"/>
  <c r="J6" i="11"/>
  <c r="K6" i="11" s="1"/>
  <c r="J49" i="11"/>
  <c r="J20" i="12"/>
  <c r="J48" i="12"/>
  <c r="J77" i="12"/>
  <c r="K77" i="12" s="1"/>
  <c r="J78" i="13"/>
  <c r="K78" i="13" s="1"/>
  <c r="J41" i="12"/>
  <c r="O79" i="12"/>
  <c r="J29" i="13"/>
  <c r="K29" i="13" s="1"/>
  <c r="J17" i="12"/>
  <c r="J37" i="12"/>
  <c r="S79" i="12"/>
  <c r="J8" i="13"/>
  <c r="K8" i="13" s="1"/>
  <c r="J40" i="13"/>
  <c r="K40" i="13" s="1"/>
  <c r="K49" i="11"/>
  <c r="K51" i="16"/>
  <c r="K27" i="16"/>
  <c r="K19" i="16"/>
  <c r="K46" i="16"/>
  <c r="K56" i="16"/>
  <c r="K62" i="16"/>
  <c r="K40" i="16"/>
  <c r="K44" i="16"/>
  <c r="K9" i="16"/>
  <c r="G79" i="16"/>
  <c r="K37" i="16"/>
  <c r="K49" i="16"/>
  <c r="K42" i="16"/>
  <c r="K69" i="16"/>
  <c r="K35" i="16"/>
  <c r="K18" i="16"/>
  <c r="K30" i="16"/>
  <c r="K31" i="16"/>
  <c r="K13" i="16"/>
  <c r="K53" i="16"/>
  <c r="K38" i="16"/>
  <c r="K52" i="16"/>
  <c r="K60" i="16"/>
  <c r="K22" i="16"/>
  <c r="K61" i="16"/>
  <c r="K76" i="16"/>
  <c r="K75" i="16"/>
  <c r="K74" i="16"/>
  <c r="K23" i="16"/>
  <c r="K24" i="16"/>
  <c r="K21" i="16"/>
  <c r="K68" i="16"/>
  <c r="K50" i="16"/>
  <c r="K64" i="16"/>
  <c r="K72" i="16"/>
  <c r="K33" i="16"/>
  <c r="K57" i="16"/>
  <c r="K43" i="16"/>
  <c r="K45" i="16"/>
  <c r="K58" i="16"/>
  <c r="K65" i="16"/>
  <c r="K12" i="16"/>
  <c r="K14" i="16"/>
  <c r="K59" i="16"/>
  <c r="K11" i="16"/>
  <c r="K29" i="16"/>
  <c r="K39" i="16"/>
  <c r="K6" i="16"/>
  <c r="K17" i="16"/>
  <c r="K63" i="16"/>
  <c r="K73" i="16"/>
  <c r="K7" i="16"/>
  <c r="K10" i="16"/>
  <c r="J79" i="16"/>
  <c r="K16" i="16"/>
  <c r="K67" i="16"/>
  <c r="K34" i="16"/>
  <c r="K71" i="16"/>
  <c r="K54" i="16"/>
  <c r="K8" i="16"/>
  <c r="J79" i="15"/>
  <c r="K56" i="15"/>
  <c r="K8" i="15"/>
  <c r="K32" i="15"/>
  <c r="K58" i="15"/>
  <c r="G79" i="15"/>
  <c r="K55" i="15"/>
  <c r="K7" i="15"/>
  <c r="K10" i="15"/>
  <c r="K51" i="15"/>
  <c r="K14" i="15"/>
  <c r="K54" i="15"/>
  <c r="K23" i="15"/>
  <c r="K42" i="15"/>
  <c r="K17" i="15"/>
  <c r="K35" i="15"/>
  <c r="K41" i="15"/>
  <c r="K59" i="15"/>
  <c r="K27" i="15"/>
  <c r="K36" i="15"/>
  <c r="K39" i="15"/>
  <c r="K30" i="15"/>
  <c r="K46" i="15"/>
  <c r="K9" i="15"/>
  <c r="K26" i="15"/>
  <c r="K6" i="15"/>
  <c r="K12" i="15"/>
  <c r="K44" i="15"/>
  <c r="K53" i="15"/>
  <c r="K60" i="15"/>
  <c r="K45" i="15"/>
  <c r="K21" i="15"/>
  <c r="K19" i="15"/>
  <c r="K31" i="15"/>
  <c r="K18" i="15"/>
  <c r="K22" i="15"/>
  <c r="K16" i="15"/>
  <c r="K29" i="15"/>
  <c r="K24" i="15"/>
  <c r="K57" i="15"/>
  <c r="K52" i="15"/>
  <c r="K15" i="15"/>
  <c r="K38" i="15"/>
  <c r="K37" i="15"/>
  <c r="K43" i="15"/>
  <c r="J79" i="14"/>
  <c r="K50" i="14"/>
  <c r="K22" i="14"/>
  <c r="K14" i="14"/>
  <c r="K7" i="14"/>
  <c r="K27" i="14"/>
  <c r="K19" i="14"/>
  <c r="K66" i="14"/>
  <c r="K36" i="14"/>
  <c r="K46" i="14"/>
  <c r="K45" i="14"/>
  <c r="K33" i="14"/>
  <c r="K8" i="14"/>
  <c r="K63" i="14"/>
  <c r="K23" i="14"/>
  <c r="K25" i="14"/>
  <c r="K41" i="14"/>
  <c r="K39" i="14"/>
  <c r="G79" i="14"/>
  <c r="K47" i="14"/>
  <c r="K37" i="14"/>
  <c r="K52" i="14"/>
  <c r="K38" i="14"/>
  <c r="K44" i="14"/>
  <c r="K28" i="14"/>
  <c r="K68" i="14"/>
  <c r="K60" i="14"/>
  <c r="K62" i="14"/>
  <c r="K65" i="14"/>
  <c r="K64" i="14"/>
  <c r="K17" i="14"/>
  <c r="K30" i="14"/>
  <c r="K49" i="14"/>
  <c r="K67" i="14"/>
  <c r="K34" i="14"/>
  <c r="K6" i="14"/>
  <c r="K31" i="14"/>
  <c r="K53" i="14"/>
  <c r="K13" i="14"/>
  <c r="K18" i="14"/>
  <c r="K9" i="14"/>
  <c r="K35" i="14"/>
  <c r="K59" i="14"/>
  <c r="K16" i="14"/>
  <c r="K54" i="14"/>
  <c r="K57" i="14"/>
  <c r="K11" i="14"/>
  <c r="K15" i="14"/>
  <c r="K40" i="14"/>
  <c r="K58" i="14"/>
  <c r="K32" i="14"/>
  <c r="K51" i="14"/>
  <c r="K42" i="14"/>
  <c r="K24" i="14"/>
  <c r="J44" i="13"/>
  <c r="K44" i="13" s="1"/>
  <c r="J17" i="13"/>
  <c r="K17" i="13" s="1"/>
  <c r="J6" i="13"/>
  <c r="K6" i="13" s="1"/>
  <c r="J68" i="13"/>
  <c r="K68" i="13" s="1"/>
  <c r="J39" i="13"/>
  <c r="K39" i="13" s="1"/>
  <c r="J41" i="13"/>
  <c r="K41" i="13" s="1"/>
  <c r="J72" i="13"/>
  <c r="K72" i="13" s="1"/>
  <c r="J53" i="13"/>
  <c r="K53" i="13" s="1"/>
  <c r="J19" i="13"/>
  <c r="K19" i="13" s="1"/>
  <c r="J16" i="13"/>
  <c r="K16" i="13" s="1"/>
  <c r="S79" i="13"/>
  <c r="J42" i="13"/>
  <c r="K42" i="13" s="1"/>
  <c r="J57" i="13"/>
  <c r="K57" i="13" s="1"/>
  <c r="J71" i="13"/>
  <c r="K71" i="13" s="1"/>
  <c r="J26" i="13"/>
  <c r="K26" i="13" s="1"/>
  <c r="J49" i="13"/>
  <c r="K49" i="13" s="1"/>
  <c r="J73" i="13"/>
  <c r="K73" i="13" s="1"/>
  <c r="J66" i="13"/>
  <c r="K66" i="13" s="1"/>
  <c r="J37" i="13"/>
  <c r="K37" i="13" s="1"/>
  <c r="J60" i="13"/>
  <c r="K60" i="13" s="1"/>
  <c r="J11" i="13"/>
  <c r="K11" i="13" s="1"/>
  <c r="J52" i="13"/>
  <c r="K52" i="13" s="1"/>
  <c r="J13" i="13"/>
  <c r="K13" i="13" s="1"/>
  <c r="J69" i="13"/>
  <c r="K69" i="13" s="1"/>
  <c r="J36" i="13"/>
  <c r="K36" i="13" s="1"/>
  <c r="J35" i="13"/>
  <c r="K35" i="13" s="1"/>
  <c r="J76" i="13"/>
  <c r="K76" i="13" s="1"/>
  <c r="K28" i="13"/>
  <c r="J51" i="13"/>
  <c r="K51" i="13" s="1"/>
  <c r="K62" i="13"/>
  <c r="J18" i="13"/>
  <c r="K18" i="13" s="1"/>
  <c r="J63" i="13"/>
  <c r="K63" i="13" s="1"/>
  <c r="J21" i="13"/>
  <c r="K21" i="13" s="1"/>
  <c r="J75" i="13"/>
  <c r="K75" i="13" s="1"/>
  <c r="J7" i="13"/>
  <c r="K7" i="13" s="1"/>
  <c r="J30" i="13"/>
  <c r="K30" i="13" s="1"/>
  <c r="J67" i="13"/>
  <c r="K67" i="13" s="1"/>
  <c r="J56" i="13"/>
  <c r="K56" i="13" s="1"/>
  <c r="J58" i="13"/>
  <c r="K58" i="13" s="1"/>
  <c r="J55" i="13"/>
  <c r="K55" i="13" s="1"/>
  <c r="J20" i="13"/>
  <c r="K20" i="13" s="1"/>
  <c r="J25" i="13"/>
  <c r="K25" i="13" s="1"/>
  <c r="J22" i="13"/>
  <c r="K22" i="13" s="1"/>
  <c r="J43" i="13"/>
  <c r="K43" i="13" s="1"/>
  <c r="T62" i="13"/>
  <c r="P62" i="13"/>
  <c r="T41" i="13"/>
  <c r="P41" i="13"/>
  <c r="P51" i="13"/>
  <c r="T51" i="13"/>
  <c r="T19" i="13"/>
  <c r="P19" i="13"/>
  <c r="P68" i="13"/>
  <c r="P26" i="13"/>
  <c r="J50" i="13"/>
  <c r="K50" i="13" s="1"/>
  <c r="P53" i="13"/>
  <c r="P10" i="13"/>
  <c r="P60" i="13"/>
  <c r="J48" i="13"/>
  <c r="K48" i="13" s="1"/>
  <c r="P28" i="13"/>
  <c r="J59" i="13"/>
  <c r="K59" i="13" s="1"/>
  <c r="J77" i="13"/>
  <c r="K77" i="13" s="1"/>
  <c r="J12" i="13"/>
  <c r="K12" i="13" s="1"/>
  <c r="J24" i="13"/>
  <c r="K24" i="13" s="1"/>
  <c r="J31" i="13"/>
  <c r="K31" i="13" s="1"/>
  <c r="J46" i="13"/>
  <c r="K46" i="13" s="1"/>
  <c r="J34" i="13"/>
  <c r="K34" i="13" s="1"/>
  <c r="J10" i="13"/>
  <c r="K10" i="13" s="1"/>
  <c r="O79" i="13"/>
  <c r="J23" i="13"/>
  <c r="K23" i="13" s="1"/>
  <c r="J65" i="13"/>
  <c r="K65" i="13" s="1"/>
  <c r="J74" i="13"/>
  <c r="K74" i="13" s="1"/>
  <c r="J9" i="13"/>
  <c r="K9" i="13" s="1"/>
  <c r="J64" i="13"/>
  <c r="K64" i="13" s="1"/>
  <c r="J54" i="13"/>
  <c r="K54" i="13" s="1"/>
  <c r="J47" i="13"/>
  <c r="K47" i="13" s="1"/>
  <c r="T18" i="13"/>
  <c r="J33" i="13"/>
  <c r="K33" i="13" s="1"/>
  <c r="P58" i="13"/>
  <c r="G79" i="13"/>
  <c r="P45" i="13"/>
  <c r="P56" i="13"/>
  <c r="P50" i="13"/>
  <c r="T29" i="13"/>
  <c r="P29" i="13"/>
  <c r="P42" i="13"/>
  <c r="P69" i="13"/>
  <c r="P13" i="13"/>
  <c r="P47" i="13"/>
  <c r="T47" i="13"/>
  <c r="P54" i="13"/>
  <c r="T54" i="13"/>
  <c r="P76" i="13"/>
  <c r="P23" i="13"/>
  <c r="T59" i="13"/>
  <c r="P59" i="13"/>
  <c r="P37" i="13"/>
  <c r="P38" i="13"/>
  <c r="H79" i="13"/>
  <c r="J45" i="13"/>
  <c r="K45" i="13" s="1"/>
  <c r="T49" i="13"/>
  <c r="P49" i="13"/>
  <c r="P67" i="13"/>
  <c r="I79" i="13"/>
  <c r="T77" i="13"/>
  <c r="P77" i="13"/>
  <c r="T15" i="13"/>
  <c r="P15" i="13"/>
  <c r="J15" i="13"/>
  <c r="K15" i="13" s="1"/>
  <c r="T27" i="13"/>
  <c r="P27" i="13"/>
  <c r="J27" i="13"/>
  <c r="K27" i="13" s="1"/>
  <c r="T65" i="13"/>
  <c r="P65" i="13"/>
  <c r="T32" i="13"/>
  <c r="P32" i="13"/>
  <c r="T70" i="13"/>
  <c r="P70" i="13"/>
  <c r="T57" i="13"/>
  <c r="P57" i="13"/>
  <c r="P52" i="13"/>
  <c r="T55" i="13"/>
  <c r="P55" i="13"/>
  <c r="P75" i="13"/>
  <c r="P74" i="13"/>
  <c r="J38" i="13"/>
  <c r="K38" i="13" s="1"/>
  <c r="P22" i="13"/>
  <c r="P35" i="13"/>
  <c r="T74" i="13"/>
  <c r="J32" i="13"/>
  <c r="K32" i="13" s="1"/>
  <c r="T46" i="13"/>
  <c r="P46" i="13"/>
  <c r="P16" i="13"/>
  <c r="T14" i="13"/>
  <c r="P14" i="13"/>
  <c r="P30" i="13"/>
  <c r="P24" i="13"/>
  <c r="P39" i="13"/>
  <c r="P20" i="13"/>
  <c r="T16" i="13"/>
  <c r="P36" i="13"/>
  <c r="P71" i="13"/>
  <c r="P61" i="13"/>
  <c r="T11" i="13"/>
  <c r="P34" i="13"/>
  <c r="T63" i="13"/>
  <c r="T73" i="13"/>
  <c r="T31" i="13"/>
  <c r="P33" i="13"/>
  <c r="P78" i="13"/>
  <c r="P18" i="13"/>
  <c r="K61" i="13"/>
  <c r="J70" i="13"/>
  <c r="K70" i="13" s="1"/>
  <c r="P64" i="13"/>
  <c r="J14" i="13"/>
  <c r="K14" i="13" s="1"/>
  <c r="P44" i="13"/>
  <c r="P63" i="13"/>
  <c r="P11" i="13"/>
  <c r="T17" i="13"/>
  <c r="P17" i="13"/>
  <c r="P43" i="13"/>
  <c r="P40" i="13"/>
  <c r="J28" i="12"/>
  <c r="K28" i="12" s="1"/>
  <c r="J70" i="12"/>
  <c r="J33" i="12"/>
  <c r="K33" i="12" s="1"/>
  <c r="J78" i="12"/>
  <c r="J22" i="12"/>
  <c r="K22" i="12" s="1"/>
  <c r="J46" i="12"/>
  <c r="K46" i="12" s="1"/>
  <c r="J29" i="12"/>
  <c r="K29" i="12" s="1"/>
  <c r="J51" i="12"/>
  <c r="K51" i="12" s="1"/>
  <c r="J71" i="12"/>
  <c r="K71" i="12" s="1"/>
  <c r="J45" i="12"/>
  <c r="K45" i="12" s="1"/>
  <c r="J57" i="12"/>
  <c r="K57" i="12" s="1"/>
  <c r="J49" i="12"/>
  <c r="K49" i="12" s="1"/>
  <c r="J15" i="12"/>
  <c r="K15" i="12" s="1"/>
  <c r="J19" i="12"/>
  <c r="K19" i="12" s="1"/>
  <c r="J39" i="12"/>
  <c r="K39" i="12" s="1"/>
  <c r="J44" i="12"/>
  <c r="K44" i="12" s="1"/>
  <c r="J66" i="12"/>
  <c r="K66" i="12" s="1"/>
  <c r="P78" i="12"/>
  <c r="J40" i="12"/>
  <c r="K40" i="12" s="1"/>
  <c r="K78" i="12"/>
  <c r="J36" i="12"/>
  <c r="K36" i="12" s="1"/>
  <c r="K48" i="12"/>
  <c r="J14" i="12"/>
  <c r="K14" i="12" s="1"/>
  <c r="P69" i="12"/>
  <c r="J56" i="12"/>
  <c r="K56" i="12" s="1"/>
  <c r="J64" i="12"/>
  <c r="K64" i="12" s="1"/>
  <c r="J69" i="12"/>
  <c r="K69" i="12" s="1"/>
  <c r="J9" i="12"/>
  <c r="K9" i="12" s="1"/>
  <c r="J68" i="12"/>
  <c r="K68" i="12" s="1"/>
  <c r="J11" i="12"/>
  <c r="K11" i="12" s="1"/>
  <c r="J53" i="12"/>
  <c r="K53" i="12" s="1"/>
  <c r="J23" i="12"/>
  <c r="K23" i="12" s="1"/>
  <c r="J30" i="12"/>
  <c r="K30" i="12" s="1"/>
  <c r="J31" i="12"/>
  <c r="K31" i="12" s="1"/>
  <c r="J55" i="12"/>
  <c r="J74" i="12"/>
  <c r="K74" i="12" s="1"/>
  <c r="J13" i="12"/>
  <c r="K13" i="12" s="1"/>
  <c r="K37" i="12"/>
  <c r="J6" i="12"/>
  <c r="K6" i="12" s="1"/>
  <c r="J38" i="12"/>
  <c r="K38" i="12" s="1"/>
  <c r="K20" i="12"/>
  <c r="J58" i="12"/>
  <c r="K58" i="12" s="1"/>
  <c r="T17" i="12"/>
  <c r="K76" i="12"/>
  <c r="T51" i="12"/>
  <c r="T77" i="12"/>
  <c r="T9" i="12"/>
  <c r="T59" i="12"/>
  <c r="P59" i="12"/>
  <c r="T35" i="12"/>
  <c r="J35" i="12"/>
  <c r="K35" i="12" s="1"/>
  <c r="J10" i="12"/>
  <c r="K10" i="12" s="1"/>
  <c r="P52" i="12"/>
  <c r="K70" i="12"/>
  <c r="J26" i="12"/>
  <c r="K26" i="12" s="1"/>
  <c r="J67" i="12"/>
  <c r="K67" i="12" s="1"/>
  <c r="J52" i="12"/>
  <c r="K52" i="12" s="1"/>
  <c r="J18" i="12"/>
  <c r="K18" i="12" s="1"/>
  <c r="J34" i="12"/>
  <c r="K34" i="12" s="1"/>
  <c r="K17" i="12"/>
  <c r="K54" i="12"/>
  <c r="J32" i="12"/>
  <c r="K32" i="12" s="1"/>
  <c r="J7" i="12"/>
  <c r="K7" i="12" s="1"/>
  <c r="J60" i="12"/>
  <c r="K60" i="12" s="1"/>
  <c r="J47" i="12"/>
  <c r="K47" i="12" s="1"/>
  <c r="J72" i="12"/>
  <c r="K72" i="12" s="1"/>
  <c r="J63" i="12"/>
  <c r="K63" i="12" s="1"/>
  <c r="J50" i="12"/>
  <c r="K50" i="12" s="1"/>
  <c r="H79" i="12"/>
  <c r="J25" i="12"/>
  <c r="K25" i="12" s="1"/>
  <c r="J75" i="12"/>
  <c r="K75" i="12" s="1"/>
  <c r="J61" i="12"/>
  <c r="K61" i="12" s="1"/>
  <c r="T40" i="12"/>
  <c r="P40" i="12"/>
  <c r="P67" i="12"/>
  <c r="T67" i="12"/>
  <c r="K62" i="12"/>
  <c r="P20" i="12"/>
  <c r="P14" i="12"/>
  <c r="P10" i="12"/>
  <c r="T10" i="12"/>
  <c r="P41" i="12"/>
  <c r="T41" i="12"/>
  <c r="K41" i="12"/>
  <c r="P49" i="12"/>
  <c r="T49" i="12"/>
  <c r="T45" i="12"/>
  <c r="P45" i="12"/>
  <c r="P44" i="12"/>
  <c r="T62" i="12"/>
  <c r="P62" i="12"/>
  <c r="T31" i="12"/>
  <c r="P31" i="12"/>
  <c r="P61" i="12"/>
  <c r="I79" i="12"/>
  <c r="P42" i="12"/>
  <c r="P17" i="12"/>
  <c r="P8" i="12"/>
  <c r="T46" i="12"/>
  <c r="J65" i="12"/>
  <c r="K65" i="12" s="1"/>
  <c r="T19" i="12"/>
  <c r="P19" i="12"/>
  <c r="T55" i="12"/>
  <c r="J27" i="12"/>
  <c r="K27" i="12" s="1"/>
  <c r="T42" i="12"/>
  <c r="P57" i="12"/>
  <c r="P32" i="12"/>
  <c r="T15" i="12"/>
  <c r="P15" i="12"/>
  <c r="T26" i="12"/>
  <c r="T6" i="12"/>
  <c r="K55" i="12"/>
  <c r="T32" i="12"/>
  <c r="T22" i="12"/>
  <c r="T57" i="12"/>
  <c r="P36" i="12"/>
  <c r="P76" i="12"/>
  <c r="P51" i="12"/>
  <c r="T52" i="12"/>
  <c r="T33" i="12"/>
  <c r="P18" i="12"/>
  <c r="T18" i="12"/>
  <c r="T36" i="12"/>
  <c r="P55" i="12"/>
  <c r="P68" i="12"/>
  <c r="P74" i="12"/>
  <c r="P60" i="12"/>
  <c r="T78" i="12"/>
  <c r="P35" i="12"/>
  <c r="J8" i="12"/>
  <c r="K8" i="12" s="1"/>
  <c r="P7" i="12"/>
  <c r="T28" i="12"/>
  <c r="P28" i="12"/>
  <c r="P70" i="12"/>
  <c r="P26" i="12"/>
  <c r="P56" i="12"/>
  <c r="G79" i="12"/>
  <c r="P47" i="12"/>
  <c r="T75" i="12"/>
  <c r="J59" i="12"/>
  <c r="K59" i="12" s="1"/>
  <c r="J21" i="12"/>
  <c r="K21" i="12" s="1"/>
  <c r="P13" i="12"/>
  <c r="J12" i="12"/>
  <c r="K12" i="12" s="1"/>
  <c r="T63" i="12"/>
  <c r="P63" i="12"/>
  <c r="T24" i="12"/>
  <c r="P24" i="12"/>
  <c r="T12" i="12"/>
  <c r="K24" i="12"/>
  <c r="P71" i="12"/>
  <c r="P58" i="12"/>
  <c r="J16" i="12"/>
  <c r="K16" i="12" s="1"/>
  <c r="T53" i="12"/>
  <c r="P53" i="12"/>
  <c r="P43" i="12"/>
  <c r="P66" i="12"/>
  <c r="T16" i="12"/>
  <c r="P34" i="12"/>
  <c r="T43" i="12"/>
  <c r="T64" i="12"/>
  <c r="P64" i="12"/>
  <c r="P30" i="12"/>
  <c r="P21" i="12"/>
  <c r="P65" i="12"/>
  <c r="P72" i="12"/>
  <c r="P39" i="12"/>
  <c r="P77" i="12"/>
  <c r="P54" i="12"/>
  <c r="P50" i="12"/>
  <c r="T73" i="12"/>
  <c r="P73" i="12"/>
  <c r="P9" i="12"/>
  <c r="T65" i="12"/>
  <c r="T39" i="12"/>
  <c r="P38" i="12"/>
  <c r="P23" i="12"/>
  <c r="T23" i="12"/>
  <c r="K67" i="11"/>
  <c r="J39" i="11"/>
  <c r="K39" i="11" s="1"/>
  <c r="J31" i="11"/>
  <c r="K31" i="11" s="1"/>
  <c r="J38" i="11"/>
  <c r="J15" i="11"/>
  <c r="K15" i="11" s="1"/>
  <c r="J20" i="11"/>
  <c r="K20" i="11" s="1"/>
  <c r="J12" i="11"/>
  <c r="K12" i="11" s="1"/>
  <c r="O79" i="11"/>
  <c r="J17" i="11"/>
  <c r="K17" i="11" s="1"/>
  <c r="J21" i="11"/>
  <c r="J54" i="11"/>
  <c r="K54" i="11" s="1"/>
  <c r="J68" i="11"/>
  <c r="K68" i="11" s="1"/>
  <c r="T70" i="11"/>
  <c r="P55" i="11"/>
  <c r="T48" i="11"/>
  <c r="T22" i="11"/>
  <c r="P45" i="11"/>
  <c r="P9" i="11"/>
  <c r="P28" i="11"/>
  <c r="P30" i="11"/>
  <c r="J52" i="11"/>
  <c r="K52" i="11" s="1"/>
  <c r="J35" i="11"/>
  <c r="K35" i="11" s="1"/>
  <c r="P66" i="11"/>
  <c r="J65" i="11"/>
  <c r="K65" i="11" s="1"/>
  <c r="J46" i="11"/>
  <c r="K46" i="11" s="1"/>
  <c r="J30" i="11"/>
  <c r="K30" i="11" s="1"/>
  <c r="J34" i="11"/>
  <c r="K34" i="11" s="1"/>
  <c r="J78" i="11"/>
  <c r="K78" i="11" s="1"/>
  <c r="J14" i="11"/>
  <c r="K14" i="11" s="1"/>
  <c r="J70" i="11"/>
  <c r="K70" i="11" s="1"/>
  <c r="J77" i="11"/>
  <c r="K77" i="11" s="1"/>
  <c r="J55" i="11"/>
  <c r="K55" i="11" s="1"/>
  <c r="J69" i="11"/>
  <c r="K69" i="11" s="1"/>
  <c r="P17" i="11"/>
  <c r="P58" i="11"/>
  <c r="J43" i="11"/>
  <c r="K43" i="11" s="1"/>
  <c r="J61" i="11"/>
  <c r="K61" i="11" s="1"/>
  <c r="T44" i="11"/>
  <c r="P67" i="11"/>
  <c r="J33" i="11"/>
  <c r="K33" i="11" s="1"/>
  <c r="P41" i="11"/>
  <c r="T57" i="11"/>
  <c r="P39" i="11"/>
  <c r="K38" i="11"/>
  <c r="J26" i="11"/>
  <c r="K26" i="11" s="1"/>
  <c r="J45" i="11"/>
  <c r="K45" i="11" s="1"/>
  <c r="J58" i="11"/>
  <c r="K58" i="11" s="1"/>
  <c r="J22" i="11"/>
  <c r="K22" i="11" s="1"/>
  <c r="T75" i="11"/>
  <c r="T47" i="11"/>
  <c r="P8" i="11"/>
  <c r="P40" i="11"/>
  <c r="J32" i="11"/>
  <c r="K32" i="11" s="1"/>
  <c r="P59" i="11"/>
  <c r="J56" i="11"/>
  <c r="K56" i="11" s="1"/>
  <c r="P6" i="11"/>
  <c r="P29" i="11"/>
  <c r="J73" i="11"/>
  <c r="K73" i="11" s="1"/>
  <c r="J27" i="11"/>
  <c r="K27" i="11" s="1"/>
  <c r="T52" i="11"/>
  <c r="J60" i="11"/>
  <c r="K60" i="11" s="1"/>
  <c r="J71" i="11"/>
  <c r="K71" i="11" s="1"/>
  <c r="S79" i="11"/>
  <c r="J59" i="11"/>
  <c r="K59" i="11" s="1"/>
  <c r="J24" i="11"/>
  <c r="K24" i="11" s="1"/>
  <c r="J25" i="11"/>
  <c r="K25" i="11" s="1"/>
  <c r="J76" i="11"/>
  <c r="K76" i="11" s="1"/>
  <c r="J18" i="11"/>
  <c r="K18" i="11" s="1"/>
  <c r="J10" i="11"/>
  <c r="K10" i="11" s="1"/>
  <c r="J41" i="11"/>
  <c r="K41" i="11" s="1"/>
  <c r="J23" i="11"/>
  <c r="K23" i="11" s="1"/>
  <c r="J11" i="11"/>
  <c r="K11" i="11" s="1"/>
  <c r="J64" i="11"/>
  <c r="K64" i="11" s="1"/>
  <c r="J8" i="11"/>
  <c r="K8" i="11" s="1"/>
  <c r="J50" i="11"/>
  <c r="K50" i="11" s="1"/>
  <c r="J9" i="11"/>
  <c r="K9" i="11" s="1"/>
  <c r="J66" i="11"/>
  <c r="K66" i="11" s="1"/>
  <c r="J57" i="11"/>
  <c r="K57" i="11" s="1"/>
  <c r="J13" i="11"/>
  <c r="K13" i="11" s="1"/>
  <c r="J40" i="11"/>
  <c r="K40" i="11" s="1"/>
  <c r="J16" i="11"/>
  <c r="K16" i="11" s="1"/>
  <c r="J75" i="11"/>
  <c r="K75" i="11" s="1"/>
  <c r="J42" i="11"/>
  <c r="K42" i="11" s="1"/>
  <c r="J7" i="11"/>
  <c r="K7" i="11" s="1"/>
  <c r="J53" i="11"/>
  <c r="K53" i="11" s="1"/>
  <c r="J51" i="11"/>
  <c r="K51" i="11" s="1"/>
  <c r="J62" i="11"/>
  <c r="K62" i="11" s="1"/>
  <c r="T21" i="11"/>
  <c r="P21" i="11"/>
  <c r="K21" i="11"/>
  <c r="P56" i="11"/>
  <c r="P65" i="11"/>
  <c r="P43" i="11"/>
  <c r="P73" i="11"/>
  <c r="T73" i="11"/>
  <c r="P50" i="11"/>
  <c r="P46" i="11"/>
  <c r="T10" i="11"/>
  <c r="T63" i="11"/>
  <c r="P63" i="11"/>
  <c r="T46" i="11"/>
  <c r="T24" i="11"/>
  <c r="P24" i="11"/>
  <c r="T49" i="11"/>
  <c r="P10" i="11"/>
  <c r="T61" i="11"/>
  <c r="P61" i="11"/>
  <c r="P76" i="11"/>
  <c r="T9" i="11"/>
  <c r="P49" i="11"/>
  <c r="T25" i="11"/>
  <c r="P14" i="11"/>
  <c r="P25" i="11"/>
  <c r="P75" i="11"/>
  <c r="T6" i="11"/>
  <c r="J44" i="11"/>
  <c r="K44" i="11" s="1"/>
  <c r="T67" i="11"/>
  <c r="T33" i="11"/>
  <c r="P33" i="11"/>
  <c r="P16" i="11"/>
  <c r="T35" i="11"/>
  <c r="P35" i="11"/>
  <c r="P11" i="11"/>
  <c r="T11" i="11"/>
  <c r="G79" i="11"/>
  <c r="H79" i="11"/>
  <c r="P48" i="11"/>
  <c r="K29" i="11"/>
  <c r="P47" i="11"/>
  <c r="P57" i="11"/>
  <c r="P36" i="11"/>
  <c r="T36" i="11"/>
  <c r="P18" i="11"/>
  <c r="T18" i="11"/>
  <c r="I79" i="11"/>
  <c r="P22" i="11"/>
  <c r="T30" i="11"/>
  <c r="T27" i="11"/>
  <c r="P27" i="11"/>
  <c r="P42" i="11"/>
  <c r="T42" i="11"/>
  <c r="P74" i="11"/>
  <c r="J28" i="11"/>
  <c r="K28" i="11" s="1"/>
  <c r="J48" i="11"/>
  <c r="K48" i="11" s="1"/>
  <c r="J19" i="11"/>
  <c r="K19" i="11" s="1"/>
  <c r="T39" i="11"/>
  <c r="T15" i="11"/>
  <c r="P70" i="11"/>
  <c r="T38" i="11"/>
  <c r="P38" i="11"/>
  <c r="T60" i="11"/>
  <c r="P60" i="11"/>
  <c r="J47" i="11"/>
  <c r="K47" i="11" s="1"/>
  <c r="P78" i="11"/>
  <c r="J74" i="11"/>
  <c r="K74" i="11" s="1"/>
  <c r="P13" i="11"/>
  <c r="T34" i="11"/>
  <c r="P37" i="11"/>
  <c r="P44" i="11"/>
  <c r="P34" i="11"/>
  <c r="P23" i="11"/>
  <c r="P7" i="11"/>
  <c r="P64" i="11"/>
  <c r="T31" i="11"/>
  <c r="P31" i="11"/>
  <c r="T37" i="11"/>
  <c r="T53" i="11"/>
  <c r="P53" i="11"/>
  <c r="P62" i="11"/>
  <c r="P69" i="11"/>
  <c r="T23" i="11"/>
  <c r="T66" i="11"/>
  <c r="T64" i="11"/>
  <c r="T51" i="11"/>
  <c r="P51" i="11"/>
  <c r="J36" i="11"/>
  <c r="K36" i="11" s="1"/>
  <c r="P19" i="11"/>
  <c r="J37" i="11"/>
  <c r="K37" i="11" s="1"/>
  <c r="P77" i="11"/>
  <c r="P54" i="11"/>
  <c r="P72" i="11"/>
  <c r="P12" i="11"/>
  <c r="P20" i="11"/>
  <c r="T26" i="11"/>
  <c r="P32" i="11"/>
  <c r="P26" i="11"/>
  <c r="J72" i="11"/>
  <c r="K72" i="11" s="1"/>
  <c r="P68" i="11"/>
  <c r="I16" i="20" l="1"/>
  <c r="J16" i="20" s="1"/>
  <c r="J11" i="20"/>
  <c r="I17" i="21"/>
  <c r="H17" i="21"/>
  <c r="J17" i="21"/>
  <c r="F17" i="21"/>
  <c r="E16" i="21"/>
  <c r="G17" i="21"/>
  <c r="P89" i="13"/>
  <c r="P83" i="13"/>
  <c r="P86" i="13"/>
  <c r="T86" i="13"/>
  <c r="J89" i="16"/>
  <c r="J87" i="16"/>
  <c r="J83" i="16"/>
  <c r="J88" i="16"/>
  <c r="J86" i="16"/>
  <c r="J85" i="16" a="1"/>
  <c r="J85" i="16" s="1"/>
  <c r="J84" i="16"/>
  <c r="P84" i="13"/>
  <c r="T85" i="13" a="1"/>
  <c r="T85" i="13" s="1"/>
  <c r="J89" i="15"/>
  <c r="J87" i="15"/>
  <c r="J84" i="15"/>
  <c r="J88" i="15"/>
  <c r="J86" i="15"/>
  <c r="J83" i="15"/>
  <c r="J85" i="15" a="1"/>
  <c r="J85" i="15" s="1"/>
  <c r="T83" i="13"/>
  <c r="J85" i="11" a="1"/>
  <c r="J85" i="11" s="1"/>
  <c r="J89" i="11"/>
  <c r="J84" i="11"/>
  <c r="J83" i="11"/>
  <c r="J86" i="11"/>
  <c r="J88" i="11"/>
  <c r="J87" i="11"/>
  <c r="T84" i="13"/>
  <c r="J89" i="14"/>
  <c r="J88" i="14"/>
  <c r="J87" i="14"/>
  <c r="J84" i="14"/>
  <c r="J83" i="14"/>
  <c r="J86" i="14"/>
  <c r="J85" i="14" a="1"/>
  <c r="J85" i="14" s="1"/>
  <c r="P88" i="13"/>
  <c r="T88" i="13"/>
  <c r="J85" i="12" a="1"/>
  <c r="J85" i="12" s="1"/>
  <c r="J84" i="12"/>
  <c r="J89" i="12"/>
  <c r="J86" i="12"/>
  <c r="J83" i="12"/>
  <c r="J88" i="12"/>
  <c r="J89" i="13"/>
  <c r="K93" i="13"/>
  <c r="K85" i="13" a="1"/>
  <c r="K85" i="13" s="1"/>
  <c r="K91" i="13"/>
  <c r="J87" i="13"/>
  <c r="J84" i="13"/>
  <c r="K86" i="13"/>
  <c r="K92" i="13"/>
  <c r="K84" i="13"/>
  <c r="J88" i="13"/>
  <c r="K83" i="13"/>
  <c r="K90" i="13"/>
  <c r="K88" i="13"/>
  <c r="J83" i="13"/>
  <c r="J86" i="13"/>
  <c r="K89" i="13"/>
  <c r="J85" i="13" a="1"/>
  <c r="J85" i="13" s="1"/>
  <c r="P85" i="13" a="1"/>
  <c r="P85" i="13" s="1"/>
  <c r="T89" i="13"/>
  <c r="P79" i="12"/>
  <c r="P87" i="12" s="1"/>
  <c r="K93" i="16"/>
  <c r="K92" i="16"/>
  <c r="K91" i="16"/>
  <c r="K90" i="16"/>
  <c r="K90" i="15"/>
  <c r="K91" i="15"/>
  <c r="K92" i="15"/>
  <c r="K93" i="15"/>
  <c r="K91" i="11"/>
  <c r="K90" i="11"/>
  <c r="K92" i="11"/>
  <c r="K93" i="11"/>
  <c r="K93" i="12"/>
  <c r="K92" i="12"/>
  <c r="K91" i="12"/>
  <c r="K90" i="12"/>
  <c r="P79" i="13"/>
  <c r="P87" i="13" s="1"/>
  <c r="K93" i="14"/>
  <c r="K92" i="14"/>
  <c r="K91" i="14"/>
  <c r="K90" i="14"/>
  <c r="K79" i="14"/>
  <c r="K79" i="15"/>
  <c r="L14" i="13"/>
  <c r="T79" i="13"/>
  <c r="T87" i="13" s="1"/>
  <c r="K89" i="11"/>
  <c r="T89" i="11"/>
  <c r="P89" i="11"/>
  <c r="K79" i="16"/>
  <c r="K84" i="16"/>
  <c r="K85" i="16" a="1"/>
  <c r="K85" i="16" s="1"/>
  <c r="K89" i="16"/>
  <c r="K88" i="16"/>
  <c r="K86" i="16"/>
  <c r="K83" i="16"/>
  <c r="K84" i="15"/>
  <c r="K89" i="15"/>
  <c r="K88" i="15"/>
  <c r="K86" i="15"/>
  <c r="K85" i="15" a="1"/>
  <c r="K85" i="15" s="1"/>
  <c r="K83" i="15"/>
  <c r="K88" i="14"/>
  <c r="K86" i="14"/>
  <c r="K83" i="14"/>
  <c r="K85" i="14" a="1"/>
  <c r="K85" i="14" s="1"/>
  <c r="K89" i="14"/>
  <c r="K84" i="14"/>
  <c r="J79" i="13"/>
  <c r="K79" i="13" s="1"/>
  <c r="J79" i="12"/>
  <c r="K79" i="12" s="1"/>
  <c r="T88" i="12"/>
  <c r="P89" i="12"/>
  <c r="P85" i="12" a="1"/>
  <c r="P85" i="12" s="1"/>
  <c r="T86" i="12"/>
  <c r="T85" i="12" a="1"/>
  <c r="T85" i="12" s="1"/>
  <c r="K89" i="12"/>
  <c r="K84" i="12"/>
  <c r="K85" i="12" a="1"/>
  <c r="K85" i="12" s="1"/>
  <c r="K88" i="12"/>
  <c r="K86" i="12"/>
  <c r="K83" i="12"/>
  <c r="P84" i="12"/>
  <c r="T79" i="12"/>
  <c r="T87" i="12" s="1"/>
  <c r="T89" i="12"/>
  <c r="T83" i="12"/>
  <c r="P83" i="12"/>
  <c r="T84" i="12"/>
  <c r="P86" i="12"/>
  <c r="P88" i="12"/>
  <c r="T79" i="11"/>
  <c r="T87" i="11" s="1"/>
  <c r="T83" i="11"/>
  <c r="P79" i="11"/>
  <c r="P87" i="11" s="1"/>
  <c r="P84" i="11"/>
  <c r="J79" i="11"/>
  <c r="K79" i="11" s="1"/>
  <c r="K87" i="11" s="1"/>
  <c r="T86" i="11"/>
  <c r="T88" i="11"/>
  <c r="T85" i="11" a="1"/>
  <c r="T85" i="11" s="1"/>
  <c r="P83" i="11"/>
  <c r="P85" i="11" a="1"/>
  <c r="P85" i="11" s="1"/>
  <c r="K84" i="11"/>
  <c r="K88" i="11"/>
  <c r="K86" i="11"/>
  <c r="K85" i="11" a="1"/>
  <c r="K85" i="11" s="1"/>
  <c r="K83" i="11"/>
  <c r="T84" i="11"/>
  <c r="P86" i="11"/>
  <c r="P88" i="11"/>
  <c r="E9" i="26" l="1"/>
  <c r="E10" i="26"/>
  <c r="I87" i="11"/>
  <c r="E8" i="26" s="1"/>
  <c r="K94" i="14"/>
  <c r="K95" i="14" s="1"/>
  <c r="K94" i="11"/>
  <c r="K96" i="11" s="1"/>
  <c r="K94" i="16"/>
  <c r="K96" i="16" s="1"/>
  <c r="K94" i="15"/>
  <c r="K95" i="15" s="1"/>
  <c r="K94" i="13"/>
  <c r="K96" i="13" s="1"/>
  <c r="K94" i="12"/>
  <c r="K95" i="12" s="1"/>
  <c r="E9" i="20" l="1"/>
  <c r="F9" i="20" s="1"/>
  <c r="G9" i="26"/>
  <c r="E8" i="20"/>
  <c r="E16" i="26"/>
  <c r="G16" i="26" s="1"/>
  <c r="G8" i="26"/>
  <c r="E10" i="20"/>
  <c r="F10" i="20" s="1"/>
  <c r="G10" i="26"/>
  <c r="K96" i="14"/>
  <c r="L13" i="14" s="1"/>
  <c r="L16" i="14"/>
  <c r="L19" i="14"/>
  <c r="L6" i="14"/>
  <c r="L61" i="15"/>
  <c r="L49" i="15"/>
  <c r="L50" i="15"/>
  <c r="L58" i="15"/>
  <c r="L53" i="15"/>
  <c r="L51" i="15"/>
  <c r="L60" i="15"/>
  <c r="L59" i="15"/>
  <c r="L57" i="15"/>
  <c r="L54" i="15"/>
  <c r="L56" i="15"/>
  <c r="L52" i="15"/>
  <c r="L55" i="15"/>
  <c r="J96" i="11"/>
  <c r="L6" i="11"/>
  <c r="L75" i="12"/>
  <c r="L76" i="12"/>
  <c r="L74" i="12"/>
  <c r="L77" i="12"/>
  <c r="L78" i="12"/>
  <c r="L7" i="16"/>
  <c r="L15" i="16"/>
  <c r="L23" i="16"/>
  <c r="L9" i="16"/>
  <c r="L17" i="16"/>
  <c r="L25" i="16"/>
  <c r="L20" i="16"/>
  <c r="L8" i="16"/>
  <c r="L16" i="16"/>
  <c r="L24" i="16"/>
  <c r="L18" i="16"/>
  <c r="J96" i="16"/>
  <c r="L13" i="16"/>
  <c r="L21" i="16"/>
  <c r="L10" i="16"/>
  <c r="L11" i="16"/>
  <c r="L19" i="16"/>
  <c r="L12" i="16"/>
  <c r="L6" i="16"/>
  <c r="L14" i="16"/>
  <c r="L22" i="16"/>
  <c r="L61" i="14"/>
  <c r="L66" i="14"/>
  <c r="L62" i="14"/>
  <c r="L64" i="14"/>
  <c r="L65" i="14"/>
  <c r="L63" i="14"/>
  <c r="L60" i="14"/>
  <c r="L68" i="14"/>
  <c r="L67" i="14"/>
  <c r="K95" i="13"/>
  <c r="L9" i="13"/>
  <c r="J96" i="13"/>
  <c r="L10" i="13"/>
  <c r="L11" i="13"/>
  <c r="L12" i="13"/>
  <c r="L13" i="13"/>
  <c r="L7" i="13"/>
  <c r="L8" i="13"/>
  <c r="L6" i="13"/>
  <c r="K96" i="15"/>
  <c r="K96" i="12"/>
  <c r="K95" i="16"/>
  <c r="K95" i="11"/>
  <c r="L78" i="11" s="1"/>
  <c r="E16" i="20" l="1"/>
  <c r="F16" i="20" s="1"/>
  <c r="F8" i="20"/>
  <c r="L15" i="14"/>
  <c r="L9" i="14"/>
  <c r="L14" i="14"/>
  <c r="L17" i="14"/>
  <c r="J96" i="14"/>
  <c r="L18" i="14"/>
  <c r="L11" i="14"/>
  <c r="L8" i="14"/>
  <c r="L10" i="14"/>
  <c r="L7" i="14"/>
  <c r="L12" i="14"/>
  <c r="L7" i="12"/>
  <c r="L9" i="12"/>
  <c r="L12" i="12"/>
  <c r="L8" i="12"/>
  <c r="J96" i="12"/>
  <c r="L10" i="12"/>
  <c r="L6" i="12"/>
  <c r="L13" i="12"/>
  <c r="L11" i="12"/>
  <c r="L11" i="15"/>
  <c r="L19" i="15"/>
  <c r="L13" i="15"/>
  <c r="L16" i="15"/>
  <c r="L9" i="15"/>
  <c r="L12" i="15"/>
  <c r="L20" i="15"/>
  <c r="J96" i="15"/>
  <c r="L17" i="15"/>
  <c r="L10" i="15"/>
  <c r="L14" i="15"/>
  <c r="L6" i="15"/>
  <c r="L7" i="15"/>
  <c r="L15" i="15"/>
  <c r="L18" i="15"/>
  <c r="L8" i="15"/>
  <c r="L66" i="16"/>
  <c r="L70" i="16"/>
  <c r="L68" i="16"/>
  <c r="L72" i="16"/>
  <c r="L75" i="16"/>
  <c r="L65" i="16"/>
  <c r="L74" i="16"/>
  <c r="L76" i="16"/>
  <c r="L71" i="16"/>
  <c r="L67" i="16"/>
  <c r="L69" i="16"/>
  <c r="L73" i="16"/>
  <c r="L75" i="13"/>
  <c r="L78" i="13"/>
  <c r="L76" i="13"/>
  <c r="L77" i="13"/>
  <c r="L72" i="13"/>
  <c r="L73" i="13"/>
  <c r="L74"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<sst xmlns="http://schemas.openxmlformats.org/spreadsheetml/2006/main" count="3524" uniqueCount="524">
  <si>
    <t>PT</t>
  </si>
  <si>
    <t>OT</t>
  </si>
  <si>
    <t>SLP</t>
  </si>
  <si>
    <t>00200</t>
  </si>
  <si>
    <t>00300</t>
  </si>
  <si>
    <t>00100</t>
  </si>
  <si>
    <t>00400</t>
  </si>
  <si>
    <t>00500</t>
  </si>
  <si>
    <t>00600</t>
  </si>
  <si>
    <t>00700</t>
  </si>
  <si>
    <t>FYB:</t>
  </si>
  <si>
    <t>FYE:</t>
  </si>
  <si>
    <t>City</t>
  </si>
  <si>
    <t>Provider Name</t>
  </si>
  <si>
    <t>Zip</t>
  </si>
  <si>
    <t>Utah</t>
  </si>
  <si>
    <t>WOODS CROSS</t>
  </si>
  <si>
    <t>OREM</t>
  </si>
  <si>
    <t>SALT LAKE CITY</t>
  </si>
  <si>
    <t>UINTAH BASIN MEDICAL CENTER</t>
  </si>
  <si>
    <t>460019</t>
  </si>
  <si>
    <t>ROOSEVELT</t>
  </si>
  <si>
    <t>UINTAH BASIN HOME HEALTH</t>
  </si>
  <si>
    <t>WEST JORDAN</t>
  </si>
  <si>
    <t>BEAVER VALLEY HOSPITAL</t>
  </si>
  <si>
    <t>461335</t>
  </si>
  <si>
    <t>BEAVER</t>
  </si>
  <si>
    <t>BEAVER VALLEY HOME HEALTH</t>
  </si>
  <si>
    <t>CENTRAL VALLEY MEDICAL CENTER</t>
  </si>
  <si>
    <t>461304</t>
  </si>
  <si>
    <t>NEPHI</t>
  </si>
  <si>
    <t>CENTRAL VALLEY HOME HEALTH</t>
  </si>
  <si>
    <t>GUNNISON VALLEY HOSPITAL</t>
  </si>
  <si>
    <t>461306</t>
  </si>
  <si>
    <t>GUNNISON</t>
  </si>
  <si>
    <t>GUNNISON VALLEY HOME HEALTH</t>
  </si>
  <si>
    <t>462003</t>
  </si>
  <si>
    <t>BOUNTIFUL</t>
  </si>
  <si>
    <t>SOUTH DAVIS HOME HEALTH</t>
  </si>
  <si>
    <t>LAYTON</t>
  </si>
  <si>
    <t>OGDEN</t>
  </si>
  <si>
    <t>MT PLEASANT</t>
  </si>
  <si>
    <t>SANDY</t>
  </si>
  <si>
    <t>WESTERN PEAKS SPECIALTY HOSPITAL</t>
  </si>
  <si>
    <t>PRICE</t>
  </si>
  <si>
    <t>DRAPER</t>
  </si>
  <si>
    <t>SPANISH FORK</t>
  </si>
  <si>
    <t>NORTH LOGAN</t>
  </si>
  <si>
    <t>MURRAY</t>
  </si>
  <si>
    <t>AMERICAN FORK</t>
  </si>
  <si>
    <t>LOGAN</t>
  </si>
  <si>
    <t>CEDAR CITY</t>
  </si>
  <si>
    <t>ST GEORGE</t>
  </si>
  <si>
    <t>SNF LPN Cost</t>
  </si>
  <si>
    <t>00800</t>
  </si>
  <si>
    <t>00900</t>
  </si>
  <si>
    <t>ROCKY MOUNTAIN HOME CARE</t>
  </si>
  <si>
    <t>467238</t>
  </si>
  <si>
    <t>ACTIVUS LLC</t>
  </si>
  <si>
    <t>467321</t>
  </si>
  <si>
    <t>ADVANCED HOME HEALTH OF ST GEORGE</t>
  </si>
  <si>
    <t>467354</t>
  </si>
  <si>
    <t>ST. GEORGE</t>
  </si>
  <si>
    <t>ADVANTA HOME CARE</t>
  </si>
  <si>
    <t>467220</t>
  </si>
  <si>
    <t>AFI ADVANCED CARE HOME HEALTH  LLC</t>
  </si>
  <si>
    <t>467250</t>
  </si>
  <si>
    <t>ALLIANCE HOME HEALTH OF S UTAH  LLC</t>
  </si>
  <si>
    <t>467327</t>
  </si>
  <si>
    <t>AMBROSE HEALTHCARE  LLC</t>
  </si>
  <si>
    <t>467355</t>
  </si>
  <si>
    <t>A-PLUS HOME CARE</t>
  </si>
  <si>
    <t>467200</t>
  </si>
  <si>
    <t>467025</t>
  </si>
  <si>
    <t>APPLEGATE HOME HEALTH</t>
  </si>
  <si>
    <t>467314</t>
  </si>
  <si>
    <t>TAYLORSVILLE</t>
  </si>
  <si>
    <t>ASPIRE HOME HEALTH  INC.</t>
  </si>
  <si>
    <t>AT HOME HEALTH CARE SERVICE</t>
  </si>
  <si>
    <t>467112</t>
  </si>
  <si>
    <t>SALINA</t>
  </si>
  <si>
    <t>ATLAS HOME CARE</t>
  </si>
  <si>
    <t>467232</t>
  </si>
  <si>
    <t>LAYATON</t>
  </si>
  <si>
    <t>467356</t>
  </si>
  <si>
    <t>AUBURN CREST HOME HEALTH OF UTAH</t>
  </si>
  <si>
    <t>BEAR RIVER HEALTHCARE  LLC</t>
  </si>
  <si>
    <t>467219</t>
  </si>
  <si>
    <t>BRIGHTENLIFE HOME HEALTH</t>
  </si>
  <si>
    <t>467334</t>
  </si>
  <si>
    <t>467357</t>
  </si>
  <si>
    <t>467226</t>
  </si>
  <si>
    <t>467340</t>
  </si>
  <si>
    <t>CAREGIVER SUPPORT NETWORK</t>
  </si>
  <si>
    <t>467206</t>
  </si>
  <si>
    <t>CASCADE SPRINGS HOME HEALTH</t>
  </si>
  <si>
    <t>467316</t>
  </si>
  <si>
    <t>CLEARFIELD</t>
  </si>
  <si>
    <t>CENTERFIELD HEALTHCARE DBA SUMMIT HH</t>
  </si>
  <si>
    <t>467361</t>
  </si>
  <si>
    <t>CHASE HEALTHCARE LLC</t>
  </si>
  <si>
    <t>SOUTH JORDAN</t>
  </si>
  <si>
    <t>COMMUNITY NURSING SERVICES</t>
  </si>
  <si>
    <t>467001</t>
  </si>
  <si>
    <t>WEST VALLEY CITY</t>
  </si>
  <si>
    <t>DIGNITY HOME HEALTH OF UTAH</t>
  </si>
  <si>
    <t>467239</t>
  </si>
  <si>
    <t>DIXIE HOME REHAB</t>
  </si>
  <si>
    <t>467236</t>
  </si>
  <si>
    <t>ELEVATE HOME HEALTH  LLC</t>
  </si>
  <si>
    <t>467359</t>
  </si>
  <si>
    <t>ELITE HEALTHCARE</t>
  </si>
  <si>
    <t>LEHI</t>
  </si>
  <si>
    <t>467100</t>
  </si>
  <si>
    <t>467055</t>
  </si>
  <si>
    <t>ENHABIT HOME HEALTH</t>
  </si>
  <si>
    <t>ENHABIT HOME HEALTH OF SOUTHERN UTAH</t>
  </si>
  <si>
    <t>ENVISION HOME HEALTH  LLC</t>
  </si>
  <si>
    <t>467221</t>
  </si>
  <si>
    <t>EXEMPLAR HEALTHCARE  INC.</t>
  </si>
  <si>
    <t>467342</t>
  </si>
  <si>
    <t>FIRST CHOICE HOME HEALTH &amp; HOSPICE</t>
  </si>
  <si>
    <t>467071</t>
  </si>
  <si>
    <t>GOOD SHEPHERD HOME CARE</t>
  </si>
  <si>
    <t>467237</t>
  </si>
  <si>
    <t>HARMONY HOME HEALTH SERVICE  LLC</t>
  </si>
  <si>
    <t>467104</t>
  </si>
  <si>
    <t>HEALTH WATCH - PROVO  INC</t>
  </si>
  <si>
    <t>467106</t>
  </si>
  <si>
    <t>CEDAR HILLS</t>
  </si>
  <si>
    <t>467217</t>
  </si>
  <si>
    <t>HEARTS FOR HOSPICE AND HOME HEALTH</t>
  </si>
  <si>
    <t>HOME CAREGIVERS PARTNERSHIP  DBA CAN</t>
  </si>
  <si>
    <t>HOME CAREGIVERS PARTNERSHIP LLC  DBA</t>
  </si>
  <si>
    <t>HORIZON HOME HEALTH</t>
  </si>
  <si>
    <t>467248</t>
  </si>
  <si>
    <t>HORIZON HOME HEALTH - SALT LAKE</t>
  </si>
  <si>
    <t>467095</t>
  </si>
  <si>
    <t>HORIZON HOME HEALTH - SG</t>
  </si>
  <si>
    <t>467075</t>
  </si>
  <si>
    <t>ICARE HOME HEALTH &amp; HOSPICE</t>
  </si>
  <si>
    <t>467323</t>
  </si>
  <si>
    <t>SPRINGVILLE</t>
  </si>
  <si>
    <t>IHC HOME CARE OF LOGAN</t>
  </si>
  <si>
    <t>467024</t>
  </si>
  <si>
    <t>IHC HOMECARE CARE OF MT. PLEASANT</t>
  </si>
  <si>
    <t>467016</t>
  </si>
  <si>
    <t>INDEPENDENCE HOME CARE</t>
  </si>
  <si>
    <t>467337</t>
  </si>
  <si>
    <t>NORTH OGDEN</t>
  </si>
  <si>
    <t>467242</t>
  </si>
  <si>
    <t>INSPIRATION HOME HEALTH  LLC</t>
  </si>
  <si>
    <t>INTEGRATED SENIOR CARE HOME HEALTH</t>
  </si>
  <si>
    <t>467352</t>
  </si>
  <si>
    <t>INTEGRITY BC  INC.</t>
  </si>
  <si>
    <t>467228</t>
  </si>
  <si>
    <t>INTERMOUNTAIN HOMECARE MCKAY</t>
  </si>
  <si>
    <t>467004</t>
  </si>
  <si>
    <t>INTERMOUNTAIN HOMECARE SALT LAKE</t>
  </si>
  <si>
    <t>467030</t>
  </si>
  <si>
    <t>INTRMTN HC HOME HEALTH ST GEORGE</t>
  </si>
  <si>
    <t>467033</t>
  </si>
  <si>
    <t>IRON COUNTY HOME HEALTH AGENCY</t>
  </si>
  <si>
    <t>467012</t>
  </si>
  <si>
    <t>467320</t>
  </si>
  <si>
    <t>LIGHTEN HOME HEALTH AND HOSPICE</t>
  </si>
  <si>
    <t>467346</t>
  </si>
  <si>
    <t>MAPLE CREEK HOME HEALTH &amp; HOSPICE</t>
  </si>
  <si>
    <t>467326</t>
  </si>
  <si>
    <t>ONECARE HOME HEALTH</t>
  </si>
  <si>
    <t>467214</t>
  </si>
  <si>
    <t>PINNACLE HOME HEALTH  INC</t>
  </si>
  <si>
    <t>467224</t>
  </si>
  <si>
    <t>HOLLADAY</t>
  </si>
  <si>
    <t>PRIMARY HOME HEALTH</t>
  </si>
  <si>
    <t>PRIMROSE HOMECARE</t>
  </si>
  <si>
    <t>467234</t>
  </si>
  <si>
    <t>PROVIDENCE</t>
  </si>
  <si>
    <t>467329</t>
  </si>
  <si>
    <t>QUALITY SOLACE HOME HEALTH</t>
  </si>
  <si>
    <t>RED ROCK HEALTHCARE  INC</t>
  </si>
  <si>
    <t>467243</t>
  </si>
  <si>
    <t>RENEW HOME HEALTH</t>
  </si>
  <si>
    <t>467322</t>
  </si>
  <si>
    <t>467061</t>
  </si>
  <si>
    <t>SILVER LAKE HEALTHCARE  INC.</t>
  </si>
  <si>
    <t>467231</t>
  </si>
  <si>
    <t>SOLSTICE HOME HEALTH</t>
  </si>
  <si>
    <t>467343</t>
  </si>
  <si>
    <t>SPECIALITY NURSING SERVICES</t>
  </si>
  <si>
    <t>467110</t>
  </si>
  <si>
    <t>HUNTSVILLE</t>
  </si>
  <si>
    <t>SUN TREE HOME HEALTH</t>
  </si>
  <si>
    <t>467351</t>
  </si>
  <si>
    <t>467254</t>
  </si>
  <si>
    <t>SUNSHINE TERRACE HOME HEALTH</t>
  </si>
  <si>
    <t>SUPERIOR HOME CARE</t>
  </si>
  <si>
    <t>467108</t>
  </si>
  <si>
    <t>467362</t>
  </si>
  <si>
    <t>WASHINGTON</t>
  </si>
  <si>
    <t>TEMPLEVIEW HOME HEALTH</t>
  </si>
  <si>
    <t>TENDER CARE HOME HEALTH</t>
  </si>
  <si>
    <t>467257</t>
  </si>
  <si>
    <t>TOTAL KNEE AND HIP REHAB</t>
  </si>
  <si>
    <t>467207</t>
  </si>
  <si>
    <t>VALEO HOME HEALTHCARE SERVICES  LLC</t>
  </si>
  <si>
    <t>467213</t>
  </si>
  <si>
    <t>County</t>
  </si>
  <si>
    <t>Beaver</t>
  </si>
  <si>
    <t>Rural</t>
  </si>
  <si>
    <t>Cache</t>
  </si>
  <si>
    <t>Carbon</t>
  </si>
  <si>
    <t>Davis</t>
  </si>
  <si>
    <t>Urban</t>
  </si>
  <si>
    <t>Duchesne</t>
  </si>
  <si>
    <t>Grand</t>
  </si>
  <si>
    <t>Iron</t>
  </si>
  <si>
    <t>Juab</t>
  </si>
  <si>
    <t>Salt Lake County</t>
  </si>
  <si>
    <t>San Juan</t>
  </si>
  <si>
    <t>Sanpete</t>
  </si>
  <si>
    <t>Sevier</t>
  </si>
  <si>
    <t>Uinta</t>
  </si>
  <si>
    <t>Washington</t>
  </si>
  <si>
    <t>Weber</t>
  </si>
  <si>
    <t>SNF RN</t>
  </si>
  <si>
    <t>COMBINED SNF RN + LPN</t>
  </si>
  <si>
    <t>PT Assistant</t>
  </si>
  <si>
    <t>COMBINED PT</t>
  </si>
  <si>
    <t>OT Certified</t>
  </si>
  <si>
    <t>COMBINED OT</t>
  </si>
  <si>
    <t>Speech Pathology</t>
  </si>
  <si>
    <t>Medical Social Services</t>
  </si>
  <si>
    <t>Home Health Aide</t>
  </si>
  <si>
    <t>County Class</t>
  </si>
  <si>
    <t>Associated Hospital Name</t>
  </si>
  <si>
    <t>Hosp MCR #</t>
  </si>
  <si>
    <t>FS=Freestanding</t>
  </si>
  <si>
    <t>Cost</t>
  </si>
  <si>
    <t>Visits</t>
  </si>
  <si>
    <t>Per Visit</t>
  </si>
  <si>
    <t>HB = Hosp Based</t>
  </si>
  <si>
    <t>Provider</t>
  </si>
  <si>
    <t>Type</t>
  </si>
  <si>
    <t>Number</t>
  </si>
  <si>
    <t>FS</t>
  </si>
  <si>
    <t>HB</t>
  </si>
  <si>
    <t>Count</t>
  </si>
  <si>
    <t>Min</t>
  </si>
  <si>
    <t>Max</t>
  </si>
  <si>
    <t>Median</t>
  </si>
  <si>
    <t>Average</t>
  </si>
  <si>
    <t>Weighted Avg</t>
  </si>
  <si>
    <t>50th Percentile</t>
  </si>
  <si>
    <t>2023 or 2024 Cost Reports (most current available on HCRIS)</t>
  </si>
  <si>
    <t>Midpt</t>
  </si>
  <si>
    <t>C/R Yr</t>
  </si>
  <si>
    <t>Inflation</t>
  </si>
  <si>
    <t>Inflated</t>
  </si>
  <si>
    <t>to MP</t>
  </si>
  <si>
    <t>Rate Year</t>
  </si>
  <si>
    <t>Rate Yr</t>
  </si>
  <si>
    <t>Summary Web Table - CMS Market Basket Index Levels and Four-Quarter Moving Average Percent Changes *</t>
  </si>
  <si>
    <t>Market Basket</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</si>
  <si>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</si>
  <si>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</si>
  <si>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</si>
  <si>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</si>
  <si>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</si>
  <si>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</si>
  <si>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</si>
  <si>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</si>
  <si>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</si>
  <si>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</si>
  <si>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</si>
  <si>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</si>
  <si>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</si>
  <si>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</si>
  <si>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</si>
  <si>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</si>
  <si>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</si>
  <si>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</si>
  <si>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</si>
  <si>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</si>
  <si>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</si>
  <si>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</si>
  <si>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</si>
  <si>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</si>
  <si>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</si>
  <si>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</si>
  <si>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</si>
  <si>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</si>
  <si>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</si>
  <si>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</si>
  <si>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</si>
  <si>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</si>
  <si>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</si>
  <si>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</si>
  <si>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</si>
  <si>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</si>
  <si>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</si>
  <si>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</si>
  <si>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</si>
  <si>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</si>
  <si>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</si>
  <si>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</si>
  <si>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</si>
  <si>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</si>
  <si>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</si>
  <si>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</si>
  <si>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</si>
  <si>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</si>
  <si>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t>2022          Q1</t>
  </si>
  <si>
    <t>2022          Q2</t>
  </si>
  <si>
    <t>2022          Q3</t>
  </si>
  <si>
    <t>2022          Q4</t>
  </si>
  <si>
    <t>2023          Q1</t>
  </si>
  <si>
    <t>2023          Q2</t>
  </si>
  <si>
    <t>2023          Q3</t>
  </si>
  <si>
    <t>2023          Q4</t>
  </si>
  <si>
    <t>2024          Q1</t>
  </si>
  <si>
    <t>Forecast  2024          Q4</t>
  </si>
  <si>
    <t>Forecast  2025          Q1</t>
  </si>
  <si>
    <t>Forecast  2025          Q2</t>
  </si>
  <si>
    <t>Forecast  2025          Q3</t>
  </si>
  <si>
    <t>Forecast  2025          Q4</t>
  </si>
  <si>
    <t>Forecast  2026          Q1</t>
  </si>
  <si>
    <t>Forecast  2026          Q2</t>
  </si>
  <si>
    <t>Forecast  2026          Q3</t>
  </si>
  <si>
    <t>Forecast  2026          Q4</t>
  </si>
  <si>
    <t>Forecast  2027          Q1</t>
  </si>
  <si>
    <t>Forecast  2027          Q2</t>
  </si>
  <si>
    <t>Forecast  2027          Q3</t>
  </si>
  <si>
    <t>Forecast  2027          Q4</t>
  </si>
  <si>
    <t>Forecast  2028          Q1</t>
  </si>
  <si>
    <t>Forecast  2028          Q2</t>
  </si>
  <si>
    <t>Forecast  2028          Q3</t>
  </si>
  <si>
    <t>Forecast  2028          Q4</t>
  </si>
  <si>
    <t>Forecast  2029          Q1</t>
  </si>
  <si>
    <t>Forecast  2029          Q2</t>
  </si>
  <si>
    <t>Forecast  2029          Q3</t>
  </si>
  <si>
    <t>Forecast  2029          Q4</t>
  </si>
  <si>
    <t>Forecast  2030          Q1</t>
  </si>
  <si>
    <t>Forecast  2030          Q2</t>
  </si>
  <si>
    <t>Forecast  2030          Q3</t>
  </si>
  <si>
    <t>Forecast  2030          Q4</t>
  </si>
  <si>
    <t>Forecast  2031          Q1</t>
  </si>
  <si>
    <t>Forecast  2031          Q2</t>
  </si>
  <si>
    <t>Forecast  2031          Q3</t>
  </si>
  <si>
    <t>Forecast  2031          Q4</t>
  </si>
  <si>
    <t>Forecast  2032          Q1</t>
  </si>
  <si>
    <t>Forecast  2032          Q2</t>
  </si>
  <si>
    <t>Forecast  2032          Q3</t>
  </si>
  <si>
    <t>Forecast  2032          Q4</t>
  </si>
  <si>
    <t>Forecast  2033          Q1</t>
  </si>
  <si>
    <t>Forecast  2033          Q2</t>
  </si>
  <si>
    <t>Forecast  2033          Q3</t>
  </si>
  <si>
    <t>Forecast  2033          Q4</t>
  </si>
  <si>
    <t>Forecast  2034          Q1</t>
  </si>
  <si>
    <t>Forecast  2034          Q2</t>
  </si>
  <si>
    <t>Forecast  2034          Q3</t>
  </si>
  <si>
    <t>Forecast  2034          Q4</t>
  </si>
  <si>
    <t>2018-based Inpatient Hospital:</t>
  </si>
  <si>
    <t>Index Levels</t>
  </si>
  <si>
    <t>Four-Quarter Moving Average Percent Change</t>
  </si>
  <si>
    <t>2018-based Inpatient Hospital Capital:</t>
  </si>
  <si>
    <t>2022-based Skilled Nursing Facility:</t>
  </si>
  <si>
    <t>n/a</t>
  </si>
  <si>
    <t>2021-based Home Health Agency:</t>
  </si>
  <si>
    <t>2021-based Inpatient Rehabilitation Facility:</t>
  </si>
  <si>
    <t>2021-based Inpatient Psychiatric Facility:</t>
  </si>
  <si>
    <t>2022-based Long Term Care Hospital:</t>
  </si>
  <si>
    <t>2020-based End Stage Renal Disease:</t>
  </si>
  <si>
    <t xml:space="preserve">2017-based Medicare Economic Index: </t>
  </si>
  <si>
    <t>Four-Quarter Moving Average Percent Change with Productivity Adjustment</t>
  </si>
  <si>
    <t xml:space="preserve">Note: All market basket index levels do not reflect a productivity adjustment.  The four-quarter moving average percent change of the 2017-based Medicare Economic Index reflects a productivity adjustment. Due to interpretation of the statute regarding the MEI update, the productivity adjustment has been shifted forward two quarters so the latest historical CY 2023 productivity adjustment is aligned with the 2024Q2 percent change in the MEI. </t>
  </si>
  <si>
    <t>* Quarterly index levels and four-quarter moving average percent changes are reported on a calendar year (CY) basis. For example, the Q4 index level corresponds with October 1 through December 31 and the Q4 four-quarter moving average percent change reflects the CY growth rate. Percent change moving averages are calculated using more than ten decimal places.</t>
  </si>
  <si>
    <t>Released by CMS, OACT, National Health Statistics Group, dnhs@cms.hhs.gov</t>
  </si>
  <si>
    <t>C/R FYE</t>
  </si>
  <si>
    <t>Midpoint</t>
  </si>
  <si>
    <t>MP Rate Year</t>
  </si>
  <si>
    <t>Index</t>
  </si>
  <si>
    <t>Inflation from MP C/R year to MP Rate Year</t>
  </si>
  <si>
    <t>Outliers</t>
  </si>
  <si>
    <t>Outlier</t>
  </si>
  <si>
    <t>SNF RN / LPN (Sorted using "Combined" column)</t>
  </si>
  <si>
    <t>Total</t>
  </si>
  <si>
    <t>Standard Deviation</t>
  </si>
  <si>
    <t>PT (Sorted using "Combined" column)</t>
  </si>
  <si>
    <t>All</t>
  </si>
  <si>
    <t>Excluding</t>
  </si>
  <si>
    <t>N/A</t>
  </si>
  <si>
    <t>OT (Sorted using "Combined" column)</t>
  </si>
  <si>
    <t>Home Health Aid</t>
  </si>
  <si>
    <t>Procedure Code</t>
  </si>
  <si>
    <t>G0299</t>
  </si>
  <si>
    <t>HHS/HOSPICE OF RN EA 15 MIN</t>
  </si>
  <si>
    <t>S9123</t>
  </si>
  <si>
    <t>NURSING CARE,IN HOME;BY RN,PER HOUR (VISIT)</t>
  </si>
  <si>
    <t>T1030</t>
  </si>
  <si>
    <t>NURSING CARE,IN HOME,BY REGISTERED NURSE,PER DIEM</t>
  </si>
  <si>
    <t>S9131</t>
  </si>
  <si>
    <t>PHYSICAL THERAPY; IN THE HOME, PER DIEM</t>
  </si>
  <si>
    <t>S9129</t>
  </si>
  <si>
    <t>OCCUPATIONAL THERAPY, IN THE HOME, PER DIEM</t>
  </si>
  <si>
    <t>S9128</t>
  </si>
  <si>
    <t>SPEECH THERAPY, IN THE HOME, PER DIEM</t>
  </si>
  <si>
    <t>S9122</t>
  </si>
  <si>
    <t>HH AIDE/CERT NURSE ASSIST,HOME; PER HOUR</t>
  </si>
  <si>
    <t>T1021</t>
  </si>
  <si>
    <t>HOME HEALTH AIDE OR CERTIF NURSE ASSIST, PER VISIT</t>
  </si>
  <si>
    <t>Description</t>
  </si>
  <si>
    <t>Cost Coverage (% of coverage)</t>
  </si>
  <si>
    <t>% of Medicare Rate</t>
  </si>
  <si>
    <t>Utah Department of Health &amp; Human Services, Office of Financial Services</t>
  </si>
  <si>
    <t>Medicaid Rate Study</t>
  </si>
  <si>
    <t>Cover</t>
  </si>
  <si>
    <t>Tabs</t>
  </si>
  <si>
    <t>Other State Comparison</t>
  </si>
  <si>
    <t>Procedure Codes</t>
  </si>
  <si>
    <t>Utah as % of Other State Medicaid Rates</t>
  </si>
  <si>
    <t>Overall Averages</t>
  </si>
  <si>
    <t xml:space="preserve"> </t>
  </si>
  <si>
    <t>Medicaid Comparison</t>
  </si>
  <si>
    <t>Overall Average</t>
  </si>
  <si>
    <t>State by State Average of Utah</t>
  </si>
  <si>
    <t>2024 Q4</t>
  </si>
  <si>
    <t>2019 Q3</t>
  </si>
  <si>
    <t>2024          Q2</t>
  </si>
  <si>
    <t>2024          Q3</t>
  </si>
  <si>
    <t>2022-based Federally Qualified Health Center:</t>
  </si>
  <si>
    <t>Source: IHS Global Inc. (IGI) 2024Q4 Forecast</t>
  </si>
  <si>
    <t>Historical Data through 2024Q3</t>
  </si>
  <si>
    <t>04/15/2025</t>
  </si>
  <si>
    <t>2025 Home Health Agency - Exhibit A</t>
  </si>
  <si>
    <t>2025 Home Health Agency - Executive Table</t>
  </si>
  <si>
    <t>2022 Q4</t>
  </si>
  <si>
    <t>2023 Q4</t>
  </si>
  <si>
    <t>2023 Q2</t>
  </si>
  <si>
    <t>2023 Q3</t>
  </si>
  <si>
    <t>2024 Q1</t>
  </si>
  <si>
    <t>Xlookup</t>
  </si>
  <si>
    <t/>
  </si>
  <si>
    <t>C/R FYB</t>
  </si>
  <si>
    <t>Q1</t>
  </si>
  <si>
    <t>Q2</t>
  </si>
  <si>
    <t>Q3</t>
  </si>
  <si>
    <t>Q4</t>
  </si>
  <si>
    <t>IQR</t>
  </si>
  <si>
    <t>Khan Academy: https://www.khanacademy.org/math/statistics-probability/summarizing-quantitative-data/box-whisker-plots/a/identifying-outliers-iqr-rule</t>
  </si>
  <si>
    <t>Youtube: https://www.youtube.com/watch?v=9aDHbRb4Bf8</t>
  </si>
  <si>
    <t>Upper fence (High outlier)</t>
  </si>
  <si>
    <t>Lower fence (Low outlier)</t>
  </si>
  <si>
    <t>Inflation of cost from midpoint of cost report year to midpoint of 7/1/24 - 6/30/25 rate year</t>
  </si>
  <si>
    <t>Inflation of UT rates from midpoint of the last rate update to midpoint of the 7/1/24 - 6/30/25 year</t>
  </si>
  <si>
    <t>https://health.utah.gov/stplan/lookup/FeeScheduleDownload.php</t>
  </si>
  <si>
    <t>Date of Last Rate Change</t>
  </si>
  <si>
    <t>Comparison States</t>
  </si>
  <si>
    <t>Weighted Avg Used as Cost Basis for Report Cost Coverage</t>
  </si>
  <si>
    <t>15-Min</t>
  </si>
  <si>
    <t>Comparable Medicare Rates
(1/1/25)</t>
  </si>
  <si>
    <t>Utah Medicaid Rate
(7/1/24)</t>
  </si>
  <si>
    <t>Medicare Comparison</t>
  </si>
  <si>
    <t>Utah as % of Medicare Rate</t>
  </si>
  <si>
    <t>Medicare Rate
(1/1/25)</t>
  </si>
  <si>
    <t xml:space="preserve">Utah as % of Other State Medicaid Rates </t>
  </si>
  <si>
    <t>2025 Home Health Agency - Provider Counts and Rate Multipliers by County</t>
  </si>
  <si>
    <t>HHA Executive Table 1</t>
  </si>
  <si>
    <t>County Designation</t>
  </si>
  <si>
    <t>County By County</t>
  </si>
  <si>
    <r>
      <t>Rate Multiplier</t>
    </r>
    <r>
      <rPr>
        <b/>
        <vertAlign val="superscript"/>
        <sz val="11"/>
        <rFont val="Calibri"/>
        <family val="2"/>
      </rPr>
      <t xml:space="preserve"> 1</t>
    </r>
  </si>
  <si>
    <r>
      <t xml:space="preserve">Grand County </t>
    </r>
    <r>
      <rPr>
        <vertAlign val="superscript"/>
        <sz val="11"/>
        <color theme="1"/>
        <rFont val="Calibri"/>
        <family val="2"/>
      </rPr>
      <t>2</t>
    </r>
  </si>
  <si>
    <r>
      <t xml:space="preserve">San Juan County </t>
    </r>
    <r>
      <rPr>
        <vertAlign val="superscript"/>
        <sz val="11"/>
        <color theme="1"/>
        <rFont val="Calibri"/>
        <family val="2"/>
      </rPr>
      <t>2</t>
    </r>
  </si>
  <si>
    <r>
      <t xml:space="preserve">Zone 1: Aneth &amp; Hatch Trading Posts, Mexican Hat &amp; Montezuma Creek Residents or Eligibles </t>
    </r>
    <r>
      <rPr>
        <vertAlign val="superscript"/>
        <sz val="11"/>
        <color theme="1"/>
        <rFont val="Calibri"/>
        <family val="2"/>
      </rPr>
      <t>2</t>
    </r>
  </si>
  <si>
    <r>
      <t xml:space="preserve">Zone 2: Monument Valley Residents or Eligibles </t>
    </r>
    <r>
      <rPr>
        <vertAlign val="superscript"/>
        <sz val="11"/>
        <color theme="1"/>
        <rFont val="Calibri"/>
        <family val="2"/>
      </rPr>
      <t>2</t>
    </r>
  </si>
  <si>
    <r>
      <rPr>
        <vertAlign val="superscript"/>
        <sz val="11"/>
        <color theme="1"/>
        <rFont val="Calibri"/>
        <family val="2"/>
      </rPr>
      <t>1</t>
    </r>
    <r>
      <rPr>
        <sz val="11"/>
        <color theme="1"/>
        <rFont val="Calibri"/>
        <family val="2"/>
      </rPr>
      <t xml:space="preserve"> 4.19-B State Plan rate multipliers</t>
    </r>
  </si>
  <si>
    <t>HHA Table 3 Cost Coverage</t>
  </si>
  <si>
    <t xml:space="preserve">2025 Home Health Agency </t>
  </si>
  <si>
    <t>NA</t>
  </si>
  <si>
    <t>Average of Other State Medicaid Rates</t>
  </si>
  <si>
    <t>HHA County Counts Table 2</t>
  </si>
  <si>
    <t>HHA Code Comparison to Medicare Rates - Table 4</t>
  </si>
  <si>
    <t>HHA Border State Comparisons - Table 5</t>
  </si>
  <si>
    <t>AZ</t>
  </si>
  <si>
    <t>CO</t>
  </si>
  <si>
    <t>ID</t>
  </si>
  <si>
    <t>NV</t>
  </si>
  <si>
    <t>WY</t>
  </si>
  <si>
    <t>Proc Code</t>
  </si>
  <si>
    <t>Utah MCD Rate
(7/1/24)</t>
  </si>
  <si>
    <t>Cost of Care</t>
  </si>
  <si>
    <t>Cover Sheet</t>
  </si>
  <si>
    <t>A-1</t>
  </si>
  <si>
    <t>A-2</t>
  </si>
  <si>
    <t>A-3</t>
  </si>
  <si>
    <t>CMS Market Basket Index; Medicare Economic Index (MEI)</t>
  </si>
  <si>
    <t>HHA service summary. Shown as Table 1 in the report.</t>
  </si>
  <si>
    <t>HHA provider counts and rate multipliers. Shown as Table 2 in the report.</t>
  </si>
  <si>
    <t>HHA Cost Coverage of Utah Rates. Shown as Table 3 in the report.</t>
  </si>
  <si>
    <t>A-4</t>
  </si>
  <si>
    <t>HHA Utah rates compared to Medicare. Shown as Table 4 in the report.</t>
  </si>
  <si>
    <t>A-5</t>
  </si>
  <si>
    <t>HHA Utah rates compared to other states. Shown as Table 5 in the report.</t>
  </si>
  <si>
    <t>A-6</t>
  </si>
  <si>
    <r>
      <rPr>
        <vertAlign val="superscript"/>
        <sz val="11"/>
        <color theme="1"/>
        <rFont val="Calibri"/>
        <family val="2"/>
      </rPr>
      <t>1</t>
    </r>
    <r>
      <rPr>
        <sz val="11"/>
        <color theme="1"/>
        <rFont val="Calibri"/>
        <family val="2"/>
      </rPr>
      <t xml:space="preserve"> Most current cost report available (Fiscal Year End (FYE) 2023 or 2024). Weighted average cost excluding outliers.</t>
    </r>
  </si>
  <si>
    <r>
      <rPr>
        <vertAlign val="superscript"/>
        <sz val="11"/>
        <rFont val="Aptos Narrow"/>
        <family val="2"/>
        <scheme val="minor"/>
      </rPr>
      <t>2</t>
    </r>
    <r>
      <rPr>
        <sz val="11"/>
        <rFont val="Aptos Narrow"/>
        <family val="2"/>
        <scheme val="minor"/>
      </rPr>
      <t xml:space="preserve"> UT fee schedule is 15-minute. Converted cost to a 15-minute unit to match rate.</t>
    </r>
  </si>
  <si>
    <r>
      <rPr>
        <vertAlign val="superscript"/>
        <sz val="11"/>
        <rFont val="Aptos Narrow"/>
        <family val="2"/>
        <scheme val="minor"/>
      </rPr>
      <t>3</t>
    </r>
    <r>
      <rPr>
        <sz val="11"/>
        <rFont val="Aptos Narrow"/>
        <family val="2"/>
        <scheme val="minor"/>
      </rPr>
      <t xml:space="preserve"> The fee schedule provides two procedure codes for this service for hourly and per visit units. Based on review of the Utah Medicaid Provider Manual, the per visit amount for procedure code T1021 most closely matches the visits in the cost report. Therefore, we do not provide a cost coverage percentage for the hourly service S9122 in the fee schedule. </t>
    </r>
  </si>
  <si>
    <r>
      <t>Cost of Care</t>
    </r>
    <r>
      <rPr>
        <b/>
        <vertAlign val="superscript"/>
        <sz val="11"/>
        <rFont val="Calibri"/>
        <family val="2"/>
      </rPr>
      <t xml:space="preserve"> 1</t>
    </r>
  </si>
  <si>
    <t>A-7</t>
  </si>
  <si>
    <t>A-8</t>
  </si>
  <si>
    <t>A-9</t>
  </si>
  <si>
    <t>A-10</t>
  </si>
  <si>
    <t>A-11</t>
  </si>
  <si>
    <t>A-12</t>
  </si>
  <si>
    <t>HCRIS Data and statistics for SNF RN and LPN</t>
  </si>
  <si>
    <t>HCRIS Data and statistics for PT</t>
  </si>
  <si>
    <t>HCRIS Data and statistics for OT</t>
  </si>
  <si>
    <t>HCRIS Data and statistics for SLP</t>
  </si>
  <si>
    <t>HCRIS Data and statistics for HHA</t>
  </si>
  <si>
    <t>HCRIS Data and statistics for MS</t>
  </si>
  <si>
    <t>Cost Comparison</t>
  </si>
  <si>
    <t xml:space="preserve">• The Utah Department of Health and Human Services (DHHS) last received legislative appropriation to increase HHA rates effective July 1, 2019. The inflation from the appropriation to December 31, 2024 (midpoint of SFY 2025) is 21%. Inflation was calculated using the Medicare Economic Index (MEI) published by the Centers for Medicare and Medicaid Services (CMS) and obtained from: https://www.cms.gov/data-research/statistics-trends-and-reports/medicare-program-rates-statistics/market-basket-data. </t>
  </si>
  <si>
    <t>Cost Report Count</t>
  </si>
  <si>
    <r>
      <rPr>
        <vertAlign val="superscript"/>
        <sz val="11"/>
        <color theme="1"/>
        <rFont val="Calibri"/>
        <family val="2"/>
      </rPr>
      <t>2</t>
    </r>
    <r>
      <rPr>
        <sz val="11"/>
        <color theme="1"/>
        <rFont val="Calibri"/>
        <family val="2"/>
      </rPr>
      <t xml:space="preserve"> Providers may have multiple locations with satellite locations in these counties or zones. The addresses used in the table above are assumed to be the primary address as reported on the Medicare cost report. No cost reports were identified for providers with report addresses in these counties or zones. Section 4.19-B, Section J of the State Plan allows the multiplier for services provided to members living in this county or zone.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</si>
</sst>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43" formatCode="_(* #,##0.00_);_(* \(#,##0.00\);_(* &quot;-&quot;??_);_(@_)"/>
    <numFmt numFmtId="164" formatCode="_(* #,##0_);_(* \(#,##0\);_(* &quot;-&quot;??_);_(@_)"/>
    <numFmt numFmtId="165" formatCode="_(* #,##0.0000_);_(* \(#,##0.0000\);_(* &quot;-&quot;??_);_(@_)"/>
    <numFmt numFmtId="166" formatCode="0.000"/>
    <numFmt numFmtId="167" formatCode="0.0"/>
    <numFmt numFmtId="168" formatCode="&quot;$&quot;#,##0.00"/>
    <numFmt numFmtId="169" formatCode="00000"/>
    <numFmt numFmtId="170" formatCode="_(* #,##0.00000_);_(* \(#,##0.00000\);_(* &quot;-&quot;??_);_(@_)"/>
  </numFmts>
  <fonts count="39" x14ac:knownFonts="1">
    <font>
      <sz val="11"/>
      <color theme="1"/>
      <name val="Aptos Narrow"/>
      <family val="2"/>
      <scheme val="minor"/>
    </font>
    <font>
      <sz val="11"/>
      <color theme="1"/>
      <name val="Aptos Narrow"/>
      <family val="2"/>
      <scheme val="minor"/>
    </font>
    <font>
      <b/>
      <sz val="11"/>
      <color theme="0"/>
      <name val="Aptos Narrow"/>
      <family val="2"/>
      <scheme val="minor"/>
    </font>
    <font>
      <sz val="11"/>
      <color rgb="FF00B050"/>
      <name val="Aptos Narrow"/>
      <family val="2"/>
      <scheme val="minor"/>
    </font>
    <font>
      <u val="singleAccounting"/>
      <sz val="11"/>
      <color theme="1"/>
      <name val="Aptos Narrow"/>
      <family val="2"/>
      <scheme val="minor"/>
    </font>
    <font>
      <u/>
      <sz val="11"/>
      <color theme="10"/>
      <name val="Aptos Narrow"/>
      <family val="2"/>
      <scheme val="minor"/>
    </font>
    <font>
      <sz val="11"/>
      <name val="Aptos Narrow"/>
      <family val="2"/>
      <scheme val="minor"/>
    </font>
    <font>
      <sz val="16"/>
      <color rgb="FF38939B"/>
      <name val="Arial Black"/>
      <family val="2"/>
    </font>
    <font>
      <u val="singleAccounting"/>
      <sz val="11"/>
      <color rgb="FF38939B"/>
      <name val="Arial Black"/>
      <family val="2"/>
    </font>
    <font>
      <u val="singleAccounting"/>
      <sz val="11"/>
      <color rgb="FFF8971D"/>
      <name val="Arial Black"/>
      <family val="2"/>
    </font>
    <font>
      <sz val="11"/>
      <color rgb="FF38939B"/>
      <name val="Arial Black"/>
      <family val="2"/>
    </font>
    <font>
      <sz val="11"/>
      <color rgb="FFF8971D"/>
      <name val="Arial Black"/>
      <family val="2"/>
    </font>
    <font>
      <b/>
      <sz val="11"/>
      <name val="Arial Black"/>
      <family val="2"/>
    </font>
    <font>
      <b/>
      <sz val="11"/>
      <name val="Aptos Narrow"/>
      <family val="2"/>
      <scheme val="minor"/>
    </font>
    <font>
      <b/>
      <u val="singleAccounting"/>
      <sz val="11"/>
      <name val="Aptos Narrow"/>
      <family val="2"/>
      <scheme val="minor"/>
    </font>
    <font>
      <sz val="11"/>
      <color rgb="FFF8971D"/>
      <name val="Aptos Narrow"/>
      <family val="2"/>
      <scheme val="minor"/>
    </font>
    <font>
      <b/>
      <sz val="11"/>
      <color theme="1"/>
      <name val="Aptos Narrow"/>
      <family val="2"/>
      <scheme val="minor"/>
    </font>
    <font>
      <b/>
      <sz val="11"/>
      <color rgb="FFF8971D"/>
      <name val="Aptos Narrow"/>
      <family val="2"/>
      <scheme val="minor"/>
    </font>
    <font>
      <b/>
      <u val="singleAccounting"/>
      <sz val="11"/>
      <color rgb="FFF8971D"/>
      <name val="Aptos Narrow"/>
      <family val="2"/>
      <scheme val="minor"/>
    </font>
    <font>
      <sz val="10"/>
      <color theme="1"/>
      <name val="Aptos Narrow"/>
      <family val="2"/>
      <scheme val="minor"/>
    </font>
    <font>
      <sz val="10"/>
      <name val="Times New Roman"/>
      <family val="1"/>
    </font>
    <font>
      <sz val="10"/>
      <name val="Arial"/>
      <family val="2"/>
    </font>
    <font>
      <b/>
      <sz val="10"/>
      <name val="Times New Roman"/>
      <family val="1"/>
    </font>
    <font>
      <b/>
      <sz val="14"/>
      <color theme="1"/>
      <name val="Aptos Narrow"/>
      <family val="2"/>
      <scheme val="minor"/>
    </font>
    <font>
      <b/>
      <sz val="12"/>
      <color theme="1"/>
      <name val="Aptos Narrow"/>
      <family val="2"/>
      <scheme val="minor"/>
    </font>
    <font>
      <sz val="11"/>
      <color rgb="FF0070C0"/>
      <name val="Aptos Narrow"/>
      <family val="2"/>
      <scheme val="minor"/>
    </font>
    <font>
      <sz val="11"/>
      <color rgb="FF0000FF"/>
      <name val="Aptos Narrow"/>
      <family val="2"/>
      <scheme val="minor"/>
    </font>
    <font>
      <sz val="8"/>
      <name val="Aptos Narrow"/>
      <family val="2"/>
      <scheme val="minor"/>
    </font>
    <font>
      <vertAlign val="superscript"/>
      <sz val="11"/>
      <name val="Aptos Narrow"/>
      <family val="2"/>
      <scheme val="minor"/>
    </font>
    <font>
      <b/>
      <sz val="14"/>
      <color theme="1"/>
      <name val="Calibri"/>
      <family val="2"/>
    </font>
    <font>
      <sz val="11"/>
      <color theme="1"/>
      <name val="Calibri"/>
      <family val="2"/>
    </font>
    <font>
      <b/>
      <sz val="11"/>
      <name val="Calibri"/>
      <family val="2"/>
    </font>
    <font>
      <vertAlign val="superscript"/>
      <sz val="11"/>
      <color theme="1"/>
      <name val="Calibri"/>
      <family val="2"/>
    </font>
    <font>
      <u/>
      <sz val="11"/>
      <color theme="10"/>
      <name val="Calibri"/>
      <family val="2"/>
    </font>
    <font>
      <b/>
      <sz val="11"/>
      <color theme="1"/>
      <name val="Calibri"/>
      <family val="2"/>
    </font>
    <font>
      <sz val="11"/>
      <name val="Calibri"/>
      <family val="2"/>
    </font>
    <font>
      <b/>
      <sz val="11"/>
      <color theme="0"/>
      <name val="Calibri"/>
      <family val="2"/>
    </font>
    <font>
      <b/>
      <vertAlign val="superscript"/>
      <sz val="11"/>
      <name val="Calibri"/>
      <family val="2"/>
    </font>
    <font>
      <b/>
      <sz val="12"/>
      <color theme="1"/>
      <name val="Calibri"/>
      <family val="2"/>
    </font>
  </fonts>
  <fills count="15">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rgb="FF9CC5CA"/>
        <bgColor indexed="64"/>
      </patternFill>
    </fill>
    <fill>
      <patternFill patternType="solid">
        <fgColor theme="0" tint="-0.14999847407452621"/>
        <bgColor indexed="64"/>
      </patternFill>
    </fill>
    <fill>
      <patternFill patternType="solid">
        <fgColor theme="3" tint="0.89999084444715716"/>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rgb="FF38939B"/>
        <bgColor indexed="64"/>
      </patternFill>
    </fill>
    <fill>
      <patternFill patternType="solid">
        <fgColor theme="0"/>
        <bgColor indexed="64"/>
      </patternFill>
    </fill>
    <fill>
      <patternFill patternType="solid">
        <fgColor theme="3" tint="0.749992370372631"/>
        <bgColor indexed="64"/>
      </patternFill>
    </fill>
    <fill>
      <patternFill patternType="solid">
        <fgColor rgb="FFFFC000"/>
        <bgColor indexed="64"/>
      </patternFill>
    </fill>
    <fill>
      <patternFill patternType="solid">
        <fgColor theme="2" tint="-0.249977111117893"/>
        <bgColor indexed="64"/>
      </patternFill>
    </fill>
  </fills>
  <borders count="29">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s>
  <cellStyleXfs count="11">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5" fillId="0" borderId="0" applyNumberFormat="0" applyFill="0" applyBorder="0" applyAlignment="0" applyProtection="0"/>
    <xf numFmtId="0" fontId="1" fillId="0" borderId="0"/>
    <xf numFmtId="0" fontId="19" fillId="0" borderId="0"/>
    <xf numFmtId="0" fontId="20" fillId="0" borderId="0"/>
    <xf numFmtId="0" fontId="21" fillId="0" borderId="0"/>
    <xf numFmtId="0" fontId="22" fillId="0" borderId="0"/>
    <xf numFmtId="9" fontId="19" fillId="0" borderId="0" applyFont="0" applyFill="0" applyBorder="0" applyAlignment="0" applyProtection="0"/>
  </cellStyleXfs>
  <cellXfs count="284">
    <xf numFmtId="0" fontId="0" fillId="0" borderId="0" xfId="0"/>
    <xf numFmtId="49" fontId="0" fillId="0" borderId="0" xfId="0" applyNumberFormat="1"/>
    <xf numFmtId="14" fontId="0" fillId="0" borderId="0" xfId="0" applyNumberFormat="1"/>
    <xf numFmtId="0" fontId="3" fillId="0" borderId="0" xfId="0" applyFont="1" applyAlignment="1">
      <alignment horizontal="center" wrapText="1"/>
    </xf>
    <xf numFmtId="0" fontId="3" fillId="0" borderId="0" xfId="0" applyFont="1"/>
    <xf numFmtId="0" fontId="0" fillId="0" borderId="0" xfId="0" applyAlignment="1">
      <alignment horizontal="center" wrapText="1"/>
    </xf>
    <xf numFmtId="14" fontId="3" fillId="0" borderId="0" xfId="0" applyNumberFormat="1" applyFont="1" applyAlignment="1">
      <alignment horizontal="center" wrapText="1"/>
    </xf>
    <xf numFmtId="43" fontId="4" fillId="0" borderId="0" xfId="1" applyFont="1" applyAlignment="1">
      <alignment horizontal="center" wrapText="1"/>
    </xf>
    <xf numFmtId="49" fontId="0" fillId="0" borderId="0" xfId="0" applyNumberFormat="1" applyAlignment="1">
      <alignment horizontal="center" wrapText="1"/>
    </xf>
    <xf numFmtId="0" fontId="7" fillId="0" borderId="0" xfId="0" applyFont="1" applyAlignment="1">
      <alignment vertical="top"/>
    </xf>
    <xf numFmtId="49" fontId="3" fillId="0" borderId="0" xfId="0" applyNumberFormat="1" applyFont="1" applyAlignment="1">
      <alignment horizontal="center" wrapText="1"/>
    </xf>
    <xf numFmtId="43" fontId="8" fillId="0" borderId="2" xfId="1" applyFont="1" applyBorder="1" applyAlignment="1">
      <alignment horizontal="centerContinuous" wrapText="1"/>
    </xf>
    <xf numFmtId="43" fontId="8" fillId="0" borderId="3" xfId="1" applyFont="1" applyBorder="1" applyAlignment="1">
      <alignment horizontal="centerContinuous" wrapText="1"/>
    </xf>
    <xf numFmtId="43" fontId="8" fillId="0" borderId="4" xfId="1" applyFont="1" applyBorder="1" applyAlignment="1">
      <alignment horizontal="centerContinuous" wrapText="1"/>
    </xf>
    <xf numFmtId="43" fontId="9" fillId="0" borderId="3" xfId="1" applyFont="1" applyFill="1" applyBorder="1" applyAlignment="1">
      <alignment horizontal="centerContinuous" wrapText="1"/>
    </xf>
    <xf numFmtId="43" fontId="9" fillId="0" borderId="3" xfId="1" applyFont="1" applyBorder="1" applyAlignment="1">
      <alignment horizontal="centerContinuous" wrapText="1"/>
    </xf>
    <xf numFmtId="43" fontId="9" fillId="0" borderId="4" xfId="1" applyFont="1" applyBorder="1" applyAlignment="1">
      <alignment horizontal="centerContinuous" wrapText="1"/>
    </xf>
    <xf numFmtId="43" fontId="8" fillId="0" borderId="0" xfId="1" applyFont="1" applyAlignment="1">
      <alignment horizontal="center" wrapText="1"/>
    </xf>
    <xf numFmtId="0" fontId="0" fillId="0" borderId="0" xfId="0" applyAlignment="1">
      <alignment wrapText="1"/>
    </xf>
    <xf numFmtId="0" fontId="0" fillId="0" borderId="0" xfId="0" applyAlignment="1">
      <alignment horizontal="left"/>
    </xf>
    <xf numFmtId="49" fontId="0" fillId="0" borderId="0" xfId="0" applyNumberFormat="1" applyAlignment="1">
      <alignment horizontal="center"/>
    </xf>
    <xf numFmtId="0" fontId="10" fillId="0" borderId="5" xfId="0" applyFont="1" applyBorder="1" applyAlignment="1">
      <alignment horizontal="center" wrapText="1"/>
    </xf>
    <xf numFmtId="0" fontId="10" fillId="0" borderId="0" xfId="0" applyFont="1" applyAlignment="1">
      <alignment horizontal="center" wrapText="1"/>
    </xf>
    <xf numFmtId="0" fontId="10" fillId="0" borderId="6" xfId="0" applyFont="1" applyBorder="1" applyAlignment="1">
      <alignment horizontal="center" wrapText="1"/>
    </xf>
    <xf numFmtId="0" fontId="11" fillId="0" borderId="0" xfId="0" applyFont="1" applyAlignment="1">
      <alignment horizontal="center" wrapText="1"/>
    </xf>
    <xf numFmtId="0" fontId="10" fillId="0" borderId="0" xfId="0" applyFont="1"/>
    <xf numFmtId="14" fontId="0" fillId="0" borderId="0" xfId="0" applyNumberFormat="1" applyAlignment="1">
      <alignment horizontal="center" wrapText="1"/>
    </xf>
    <xf numFmtId="49" fontId="0" fillId="0" borderId="5" xfId="0" applyNumberFormat="1" applyBorder="1" applyAlignment="1">
      <alignment horizontal="center" wrapText="1"/>
    </xf>
    <xf numFmtId="49" fontId="0" fillId="0" borderId="6" xfId="0" applyNumberFormat="1" applyBorder="1" applyAlignment="1">
      <alignment horizontal="center" wrapText="1"/>
    </xf>
    <xf numFmtId="49" fontId="0" fillId="0" borderId="1" xfId="0" applyNumberFormat="1" applyBorder="1" applyAlignment="1">
      <alignment horizontal="center" wrapText="1"/>
    </xf>
    <xf numFmtId="14" fontId="0" fillId="0" borderId="1" xfId="0" applyNumberFormat="1" applyBorder="1" applyAlignment="1">
      <alignment horizontal="center" wrapText="1"/>
    </xf>
    <xf numFmtId="49" fontId="0" fillId="0" borderId="7" xfId="0" applyNumberFormat="1" applyBorder="1" applyAlignment="1">
      <alignment horizontal="center" wrapText="1"/>
    </xf>
    <xf numFmtId="49" fontId="0" fillId="0" borderId="8" xfId="0" applyNumberFormat="1" applyBorder="1" applyAlignment="1">
      <alignment horizontal="center" wrapText="1"/>
    </xf>
    <xf numFmtId="49" fontId="12" fillId="4" borderId="0" xfId="0" applyNumberFormat="1" applyFont="1" applyFill="1" applyAlignment="1">
      <alignment horizontal="left"/>
    </xf>
    <xf numFmtId="0" fontId="6" fillId="4" borderId="0" xfId="0" applyFont="1" applyFill="1" applyAlignment="1">
      <alignment horizontal="center" wrapText="1"/>
    </xf>
    <xf numFmtId="49" fontId="6" fillId="4" borderId="0" xfId="0" applyNumberFormat="1" applyFont="1" applyFill="1" applyAlignment="1">
      <alignment horizontal="center" wrapText="1"/>
    </xf>
    <xf numFmtId="14" fontId="6" fillId="4" borderId="0" xfId="0" applyNumberFormat="1" applyFont="1" applyFill="1" applyAlignment="1">
      <alignment horizontal="center" wrapText="1"/>
    </xf>
    <xf numFmtId="49" fontId="6" fillId="4" borderId="5" xfId="0" applyNumberFormat="1" applyFont="1" applyFill="1" applyBorder="1" applyAlignment="1">
      <alignment horizontal="center" wrapText="1"/>
    </xf>
    <xf numFmtId="49" fontId="6" fillId="4" borderId="6" xfId="0" applyNumberFormat="1" applyFont="1" applyFill="1" applyBorder="1" applyAlignment="1">
      <alignment horizontal="center" wrapText="1"/>
    </xf>
    <xf numFmtId="0" fontId="6" fillId="0" borderId="5" xfId="0" applyFont="1" applyBorder="1" applyAlignment="1">
      <alignment horizontal="center"/>
    </xf>
    <xf numFmtId="49" fontId="6" fillId="0" borderId="0" xfId="0" applyNumberFormat="1" applyFont="1"/>
    <xf numFmtId="0" fontId="6" fillId="0" borderId="0" xfId="0" applyFont="1" applyAlignment="1">
      <alignment horizontal="center"/>
    </xf>
    <xf numFmtId="14" fontId="6" fillId="0" borderId="0" xfId="0" applyNumberFormat="1" applyFont="1"/>
    <xf numFmtId="164" fontId="6" fillId="0" borderId="5" xfId="1" applyNumberFormat="1" applyFont="1" applyBorder="1"/>
    <xf numFmtId="164" fontId="6" fillId="0" borderId="0" xfId="1" applyNumberFormat="1" applyFont="1" applyBorder="1"/>
    <xf numFmtId="44" fontId="6" fillId="0" borderId="6" xfId="2" applyFont="1" applyBorder="1"/>
    <xf numFmtId="0" fontId="6" fillId="0" borderId="0" xfId="0" applyFont="1"/>
    <xf numFmtId="0" fontId="6" fillId="0" borderId="6" xfId="0" applyFont="1" applyBorder="1"/>
    <xf numFmtId="164" fontId="6" fillId="0" borderId="0" xfId="0" applyNumberFormat="1" applyFont="1"/>
    <xf numFmtId="164" fontId="6" fillId="0" borderId="0" xfId="1" applyNumberFormat="1" applyFont="1" applyFill="1" applyBorder="1"/>
    <xf numFmtId="0" fontId="6" fillId="5" borderId="5" xfId="0" applyFont="1" applyFill="1" applyBorder="1" applyAlignment="1">
      <alignment horizontal="center"/>
    </xf>
    <xf numFmtId="44" fontId="6" fillId="5" borderId="6" xfId="2" applyFont="1" applyFill="1" applyBorder="1"/>
    <xf numFmtId="0" fontId="6" fillId="5" borderId="0" xfId="0" applyFont="1" applyFill="1"/>
    <xf numFmtId="0" fontId="6" fillId="5" borderId="6" xfId="0" applyFont="1" applyFill="1" applyBorder="1"/>
    <xf numFmtId="164" fontId="6" fillId="5" borderId="0" xfId="0" applyNumberFormat="1" applyFont="1" applyFill="1"/>
    <xf numFmtId="1" fontId="6" fillId="0" borderId="0" xfId="1" applyNumberFormat="1" applyFont="1" applyAlignment="1">
      <alignment horizontal="center"/>
    </xf>
    <xf numFmtId="0" fontId="13" fillId="0" borderId="5" xfId="1" applyNumberFormat="1" applyFont="1" applyBorder="1" applyAlignment="1">
      <alignment horizontal="center"/>
    </xf>
    <xf numFmtId="0" fontId="13" fillId="0" borderId="0" xfId="1" applyNumberFormat="1" applyFont="1" applyBorder="1" applyAlignment="1">
      <alignment horizontal="center"/>
    </xf>
    <xf numFmtId="0" fontId="13" fillId="0" borderId="6" xfId="1" applyNumberFormat="1" applyFont="1" applyBorder="1" applyAlignment="1">
      <alignment horizontal="center"/>
    </xf>
    <xf numFmtId="49" fontId="6" fillId="0" borderId="0" xfId="0" applyNumberFormat="1" applyFont="1" applyAlignment="1">
      <alignment horizontal="center"/>
    </xf>
    <xf numFmtId="43" fontId="14" fillId="0" borderId="5" xfId="1" applyFont="1" applyBorder="1" applyAlignment="1">
      <alignment horizontal="center"/>
    </xf>
    <xf numFmtId="43" fontId="14" fillId="0" borderId="0" xfId="1" applyFont="1" applyBorder="1" applyAlignment="1">
      <alignment horizontal="center"/>
    </xf>
    <xf numFmtId="43" fontId="14" fillId="0" borderId="6" xfId="1" applyFont="1" applyBorder="1" applyAlignment="1">
      <alignment horizontal="center"/>
    </xf>
    <xf numFmtId="44" fontId="6" fillId="0" borderId="5" xfId="0" applyNumberFormat="1" applyFont="1" applyBorder="1"/>
    <xf numFmtId="44" fontId="6" fillId="0" borderId="6" xfId="0" applyNumberFormat="1" applyFont="1" applyBorder="1"/>
    <xf numFmtId="44" fontId="6" fillId="0" borderId="0" xfId="2" applyFont="1" applyBorder="1"/>
    <xf numFmtId="9" fontId="6" fillId="0" borderId="0" xfId="3" applyFont="1"/>
    <xf numFmtId="0" fontId="0" fillId="0" borderId="5" xfId="0" applyBorder="1"/>
    <xf numFmtId="0" fontId="0" fillId="0" borderId="6" xfId="0" applyBorder="1"/>
    <xf numFmtId="0" fontId="3" fillId="0" borderId="0" xfId="0" quotePrefix="1" applyFont="1"/>
    <xf numFmtId="0" fontId="3" fillId="0" borderId="0" xfId="0" quotePrefix="1" applyFont="1" applyAlignment="1">
      <alignment horizontal="center"/>
    </xf>
    <xf numFmtId="44" fontId="15" fillId="0" borderId="6" xfId="2" applyFont="1" applyBorder="1"/>
    <xf numFmtId="44" fontId="6" fillId="0" borderId="0" xfId="0" applyNumberFormat="1" applyFont="1" applyBorder="1"/>
    <xf numFmtId="0" fontId="10" fillId="0" borderId="0" xfId="0" applyFont="1" applyBorder="1" applyAlignment="1">
      <alignment horizontal="center" wrapText="1"/>
    </xf>
    <xf numFmtId="49" fontId="0" fillId="0" borderId="0" xfId="0" applyNumberFormat="1" applyBorder="1" applyAlignment="1">
      <alignment horizontal="center" wrapText="1"/>
    </xf>
    <xf numFmtId="49" fontId="6" fillId="4" borderId="0" xfId="0" applyNumberFormat="1" applyFont="1" applyFill="1" applyBorder="1" applyAlignment="1">
      <alignment horizontal="center" wrapText="1"/>
    </xf>
    <xf numFmtId="44" fontId="6" fillId="5" borderId="0" xfId="2" applyFont="1" applyFill="1" applyBorder="1"/>
    <xf numFmtId="0" fontId="0" fillId="0" borderId="0" xfId="0" applyBorder="1"/>
    <xf numFmtId="0" fontId="11" fillId="0" borderId="0" xfId="0" applyFont="1" applyBorder="1" applyAlignment="1">
      <alignment horizontal="center" wrapText="1"/>
    </xf>
    <xf numFmtId="44" fontId="15" fillId="0" borderId="0" xfId="2" applyFont="1" applyBorder="1"/>
    <xf numFmtId="44" fontId="6" fillId="0" borderId="0" xfId="2" applyFont="1" applyFill="1" applyBorder="1"/>
    <xf numFmtId="49" fontId="15" fillId="4" borderId="6" xfId="0" applyNumberFormat="1" applyFont="1" applyFill="1" applyBorder="1" applyAlignment="1">
      <alignment horizontal="center" wrapText="1"/>
    </xf>
    <xf numFmtId="0" fontId="17" fillId="0" borderId="6" xfId="1" applyNumberFormat="1" applyFont="1" applyBorder="1" applyAlignment="1">
      <alignment horizontal="center"/>
    </xf>
    <xf numFmtId="43" fontId="18" fillId="0" borderId="6" xfId="1" applyFont="1" applyBorder="1" applyAlignment="1">
      <alignment horizontal="center"/>
    </xf>
    <xf numFmtId="44" fontId="15" fillId="0" borderId="6" xfId="0" applyNumberFormat="1" applyFont="1" applyBorder="1"/>
    <xf numFmtId="0" fontId="15" fillId="0" borderId="6" xfId="0" applyFont="1" applyBorder="1"/>
    <xf numFmtId="49" fontId="6" fillId="0" borderId="0" xfId="0" applyNumberFormat="1" applyFont="1" applyFill="1"/>
    <xf numFmtId="0" fontId="6" fillId="0" borderId="0" xfId="0" applyFont="1" applyFill="1" applyAlignment="1">
      <alignment horizontal="center"/>
    </xf>
    <xf numFmtId="14" fontId="6" fillId="0" borderId="0" xfId="0" applyNumberFormat="1" applyFont="1" applyFill="1"/>
    <xf numFmtId="164" fontId="6" fillId="0" borderId="5" xfId="1" applyNumberFormat="1" applyFont="1" applyFill="1" applyBorder="1"/>
    <xf numFmtId="0" fontId="6" fillId="0" borderId="0" xfId="0" applyFont="1" applyFill="1"/>
    <xf numFmtId="0" fontId="3" fillId="0" borderId="0" xfId="0" quotePrefix="1" applyFont="1" applyFill="1"/>
    <xf numFmtId="0" fontId="3" fillId="0" borderId="0" xfId="0" quotePrefix="1" applyFont="1" applyFill="1" applyAlignment="1">
      <alignment horizontal="center"/>
    </xf>
    <xf numFmtId="0" fontId="16" fillId="0" borderId="0" xfId="5" applyFont="1" applyAlignment="1">
      <alignment horizontal="left" vertical="top" wrapText="1"/>
    </xf>
    <xf numFmtId="0" fontId="16" fillId="0" borderId="9" xfId="7" applyFont="1" applyBorder="1" applyAlignment="1">
      <alignment vertical="center"/>
    </xf>
    <xf numFmtId="0" fontId="1" fillId="0" borderId="3" xfId="8" applyFont="1" applyBorder="1" applyAlignment="1">
      <alignment horizontal="center" wrapText="1"/>
    </xf>
    <xf numFmtId="0" fontId="1" fillId="0" borderId="4" xfId="8" applyFont="1" applyBorder="1" applyAlignment="1">
      <alignment horizontal="center" wrapText="1"/>
    </xf>
    <xf numFmtId="0" fontId="1" fillId="0" borderId="0" xfId="8" applyFont="1"/>
    <xf numFmtId="0" fontId="16" fillId="0" borderId="10" xfId="8" applyFont="1" applyBorder="1"/>
    <xf numFmtId="0" fontId="1" fillId="0" borderId="10" xfId="9" applyFont="1" applyBorder="1" applyAlignment="1">
      <alignment horizontal="left" indent="2"/>
    </xf>
    <xf numFmtId="0" fontId="16" fillId="0" borderId="10" xfId="5" applyFont="1" applyBorder="1"/>
    <xf numFmtId="0" fontId="1" fillId="0" borderId="11" xfId="9" applyFont="1" applyBorder="1" applyAlignment="1">
      <alignment horizontal="left" indent="2"/>
    </xf>
    <xf numFmtId="0" fontId="1" fillId="0" borderId="0" xfId="5"/>
    <xf numFmtId="166" fontId="1" fillId="0" borderId="0" xfId="6" applyNumberFormat="1" applyFont="1" applyFill="1" applyAlignment="1">
      <alignment horizontal="center"/>
    </xf>
    <xf numFmtId="14" fontId="1" fillId="0" borderId="0" xfId="6" applyNumberFormat="1" applyFont="1"/>
    <xf numFmtId="166" fontId="1" fillId="3" borderId="0" xfId="6" applyNumberFormat="1" applyFont="1" applyFill="1" applyAlignment="1">
      <alignment horizontal="center"/>
    </xf>
    <xf numFmtId="166" fontId="1" fillId="6" borderId="0" xfId="6" applyNumberFormat="1" applyFont="1" applyFill="1" applyAlignment="1">
      <alignment horizontal="center"/>
    </xf>
    <xf numFmtId="166" fontId="1" fillId="7" borderId="0" xfId="6" applyNumberFormat="1" applyFont="1" applyFill="1" applyAlignment="1">
      <alignment horizontal="center"/>
    </xf>
    <xf numFmtId="166" fontId="1" fillId="8" borderId="0" xfId="6" applyNumberFormat="1" applyFont="1" applyFill="1" applyAlignment="1">
      <alignment horizontal="center"/>
    </xf>
    <xf numFmtId="166" fontId="1" fillId="9" borderId="0" xfId="6" applyNumberFormat="1" applyFont="1" applyFill="1" applyAlignment="1">
      <alignment horizontal="center"/>
    </xf>
    <xf numFmtId="165" fontId="16" fillId="2" borderId="0" xfId="1" applyNumberFormat="1" applyFont="1" applyFill="1"/>
    <xf numFmtId="43" fontId="4" fillId="0" borderId="0" xfId="1" applyFont="1" applyAlignment="1">
      <alignment horizontal="center"/>
    </xf>
    <xf numFmtId="165" fontId="6" fillId="5" borderId="0" xfId="1" applyNumberFormat="1" applyFont="1" applyFill="1"/>
    <xf numFmtId="14" fontId="0" fillId="5" borderId="0" xfId="0" applyNumberFormat="1" applyFill="1" applyAlignment="1">
      <alignment horizontal="center"/>
    </xf>
    <xf numFmtId="14" fontId="0" fillId="5" borderId="0" xfId="0" applyNumberFormat="1" applyFill="1" applyAlignment="1">
      <alignment horizontal="center" wrapText="1"/>
    </xf>
    <xf numFmtId="14" fontId="0" fillId="5" borderId="1" xfId="0" applyNumberFormat="1" applyFill="1" applyBorder="1" applyAlignment="1">
      <alignment horizontal="center" wrapText="1"/>
    </xf>
    <xf numFmtId="49" fontId="15" fillId="0" borderId="0" xfId="0" applyNumberFormat="1" applyFont="1" applyBorder="1" applyAlignment="1">
      <alignment horizontal="center" wrapText="1"/>
    </xf>
    <xf numFmtId="49" fontId="15" fillId="0" borderId="1" xfId="0" applyNumberFormat="1" applyFont="1" applyBorder="1" applyAlignment="1">
      <alignment horizontal="center" wrapText="1"/>
    </xf>
    <xf numFmtId="49" fontId="15" fillId="4" borderId="0" xfId="0" applyNumberFormat="1" applyFont="1" applyFill="1" applyBorder="1" applyAlignment="1">
      <alignment horizontal="center" wrapText="1"/>
    </xf>
    <xf numFmtId="0" fontId="17" fillId="0" borderId="0" xfId="1" applyNumberFormat="1" applyFont="1" applyBorder="1" applyAlignment="1">
      <alignment horizontal="center"/>
    </xf>
    <xf numFmtId="0" fontId="15" fillId="0" borderId="0" xfId="0" applyFont="1" applyBorder="1"/>
    <xf numFmtId="14" fontId="6" fillId="0" borderId="6" xfId="0" applyNumberFormat="1" applyFont="1" applyBorder="1"/>
    <xf numFmtId="0" fontId="6" fillId="0" borderId="5" xfId="0" applyFont="1" applyBorder="1"/>
    <xf numFmtId="0" fontId="6" fillId="0" borderId="0" xfId="0" applyFont="1" applyBorder="1"/>
    <xf numFmtId="0" fontId="6" fillId="5" borderId="12" xfId="0" applyFont="1" applyFill="1" applyBorder="1" applyAlignment="1">
      <alignment horizontal="center"/>
    </xf>
    <xf numFmtId="49" fontId="6" fillId="5" borderId="13" xfId="0" applyNumberFormat="1" applyFont="1" applyFill="1" applyBorder="1"/>
    <xf numFmtId="0" fontId="6" fillId="5" borderId="13" xfId="0" applyFont="1" applyFill="1" applyBorder="1" applyAlignment="1">
      <alignment horizontal="center"/>
    </xf>
    <xf numFmtId="14" fontId="6" fillId="5" borderId="13" xfId="0" applyNumberFormat="1" applyFont="1" applyFill="1" applyBorder="1"/>
    <xf numFmtId="165" fontId="6" fillId="5" borderId="13" xfId="0" applyNumberFormat="1" applyFont="1" applyFill="1" applyBorder="1"/>
    <xf numFmtId="164" fontId="6" fillId="5" borderId="12" xfId="1" applyNumberFormat="1" applyFont="1" applyFill="1" applyBorder="1"/>
    <xf numFmtId="164" fontId="6" fillId="5" borderId="13" xfId="1" applyNumberFormat="1" applyFont="1" applyFill="1" applyBorder="1"/>
    <xf numFmtId="44" fontId="6" fillId="5" borderId="13" xfId="2" applyFont="1" applyFill="1" applyBorder="1"/>
    <xf numFmtId="44" fontId="6" fillId="5" borderId="14" xfId="2" applyFont="1" applyFill="1" applyBorder="1"/>
    <xf numFmtId="0" fontId="6" fillId="5" borderId="13" xfId="0" applyFont="1" applyFill="1" applyBorder="1"/>
    <xf numFmtId="0" fontId="3" fillId="5" borderId="13" xfId="0" quotePrefix="1" applyFont="1" applyFill="1" applyBorder="1"/>
    <xf numFmtId="0" fontId="3" fillId="5" borderId="13" xfId="0" quotePrefix="1" applyFont="1" applyFill="1" applyBorder="1" applyAlignment="1">
      <alignment horizontal="center"/>
    </xf>
    <xf numFmtId="0" fontId="23" fillId="0" borderId="0" xfId="0" applyFont="1"/>
    <xf numFmtId="0" fontId="24" fillId="0" borderId="0" xfId="0" applyFont="1"/>
    <xf numFmtId="0" fontId="1" fillId="0" borderId="0" xfId="0" applyFont="1"/>
    <xf numFmtId="0" fontId="25" fillId="0" borderId="0" xfId="0" applyFont="1"/>
    <xf numFmtId="0" fontId="1" fillId="0" borderId="6" xfId="0" applyFont="1" applyBorder="1"/>
    <xf numFmtId="166" fontId="1" fillId="0" borderId="0" xfId="0" applyNumberFormat="1" applyFont="1" applyAlignment="1">
      <alignment horizontal="center"/>
    </xf>
    <xf numFmtId="166" fontId="1" fillId="0" borderId="6" xfId="0" applyNumberFormat="1" applyFont="1" applyBorder="1" applyAlignment="1">
      <alignment horizontal="center"/>
    </xf>
    <xf numFmtId="167" fontId="1" fillId="0" borderId="0" xfId="0" applyNumberFormat="1" applyFont="1" applyAlignment="1">
      <alignment horizontal="center"/>
    </xf>
    <xf numFmtId="167" fontId="1" fillId="0" borderId="6" xfId="0" applyNumberFormat="1" applyFont="1" applyBorder="1" applyAlignment="1">
      <alignment horizontal="center"/>
    </xf>
    <xf numFmtId="166" fontId="26" fillId="0" borderId="0" xfId="8" applyNumberFormat="1" applyFont="1" applyAlignment="1">
      <alignment horizontal="center"/>
    </xf>
    <xf numFmtId="166" fontId="26" fillId="0" borderId="0" xfId="8" applyNumberFormat="1" applyFont="1" applyAlignment="1">
      <alignment horizontal="left"/>
    </xf>
    <xf numFmtId="166" fontId="26" fillId="0" borderId="6" xfId="8" applyNumberFormat="1" applyFont="1" applyBorder="1" applyAlignment="1">
      <alignment horizontal="center"/>
    </xf>
    <xf numFmtId="167" fontId="1" fillId="0" borderId="1" xfId="0" applyNumberFormat="1" applyFont="1" applyBorder="1" applyAlignment="1">
      <alignment horizontal="center"/>
    </xf>
    <xf numFmtId="167" fontId="1" fillId="0" borderId="8" xfId="0" applyNumberFormat="1" applyFont="1" applyBorder="1" applyAlignment="1">
      <alignment horizontal="center"/>
    </xf>
    <xf numFmtId="0" fontId="1" fillId="0" borderId="0" xfId="8" applyFont="1" applyAlignment="1">
      <alignment horizontal="center"/>
    </xf>
    <xf numFmtId="166" fontId="1" fillId="0" borderId="0" xfId="8" applyNumberFormat="1" applyFont="1" applyAlignment="1">
      <alignment horizontal="center"/>
    </xf>
    <xf numFmtId="0" fontId="1" fillId="12" borderId="10" xfId="9" applyFont="1" applyFill="1" applyBorder="1" applyAlignment="1">
      <alignment horizontal="left" indent="2"/>
    </xf>
    <xf numFmtId="166" fontId="1" fillId="12" borderId="0" xfId="0" applyNumberFormat="1" applyFont="1" applyFill="1" applyAlignment="1">
      <alignment horizontal="center"/>
    </xf>
    <xf numFmtId="0" fontId="1" fillId="12" borderId="0" xfId="0" applyFont="1" applyFill="1"/>
    <xf numFmtId="0" fontId="1" fillId="0" borderId="0" xfId="0" quotePrefix="1" applyFont="1"/>
    <xf numFmtId="166" fontId="1" fillId="0" borderId="0" xfId="0" applyNumberFormat="1" applyFont="1" applyFill="1" applyAlignment="1">
      <alignment horizontal="center"/>
    </xf>
    <xf numFmtId="166" fontId="1" fillId="0" borderId="6" xfId="0" applyNumberFormat="1" applyFont="1" applyFill="1" applyBorder="1" applyAlignment="1">
      <alignment horizontal="center"/>
    </xf>
    <xf numFmtId="166" fontId="1" fillId="13" borderId="0" xfId="0" applyNumberFormat="1" applyFont="1" applyFill="1" applyAlignment="1">
      <alignment horizontal="center"/>
    </xf>
    <xf numFmtId="43" fontId="4" fillId="0" borderId="0" xfId="1" applyFont="1" applyFill="1" applyAlignment="1">
      <alignment horizontal="center"/>
    </xf>
    <xf numFmtId="0" fontId="25" fillId="14" borderId="0" xfId="0" applyFont="1" applyFill="1" applyAlignment="1">
      <alignment horizontal="center"/>
    </xf>
    <xf numFmtId="0" fontId="5" fillId="0" borderId="0" xfId="4" applyAlignment="1">
      <alignment vertical="center"/>
    </xf>
    <xf numFmtId="0" fontId="0" fillId="0" borderId="0" xfId="0" applyBorder="1" applyAlignment="1">
      <alignment horizontal="right"/>
    </xf>
    <xf numFmtId="43" fontId="8" fillId="0" borderId="3" xfId="1" applyFont="1" applyFill="1" applyBorder="1" applyAlignment="1">
      <alignment horizontal="centerContinuous" wrapText="1"/>
    </xf>
    <xf numFmtId="0" fontId="1" fillId="4" borderId="0" xfId="0" applyFont="1" applyFill="1"/>
    <xf numFmtId="165" fontId="16" fillId="0" borderId="0" xfId="1" applyNumberFormat="1" applyFont="1" applyFill="1"/>
    <xf numFmtId="170" fontId="16" fillId="2" borderId="0" xfId="1" applyNumberFormat="1" applyFont="1" applyFill="1"/>
    <xf numFmtId="0" fontId="6" fillId="4" borderId="5" xfId="0" applyFont="1" applyFill="1" applyBorder="1" applyAlignment="1">
      <alignment horizontal="center"/>
    </xf>
    <xf numFmtId="49" fontId="6" fillId="4" borderId="0" xfId="0" applyNumberFormat="1" applyFont="1" applyFill="1"/>
    <xf numFmtId="49" fontId="6" fillId="4" borderId="0" xfId="0" applyNumberFormat="1" applyFont="1" applyFill="1" applyAlignment="1">
      <alignment horizontal="center"/>
    </xf>
    <xf numFmtId="14" fontId="6" fillId="4" borderId="0" xfId="0" applyNumberFormat="1" applyFont="1" applyFill="1"/>
    <xf numFmtId="0" fontId="6" fillId="4" borderId="0" xfId="0" applyFont="1" applyFill="1"/>
    <xf numFmtId="44" fontId="6" fillId="4" borderId="0" xfId="2" applyFont="1" applyFill="1" applyBorder="1"/>
    <xf numFmtId="44" fontId="6" fillId="4" borderId="0" xfId="0" applyNumberFormat="1" applyFont="1" applyFill="1" applyBorder="1"/>
    <xf numFmtId="0" fontId="6" fillId="4" borderId="5" xfId="0" applyFont="1" applyFill="1" applyBorder="1"/>
    <xf numFmtId="44" fontId="6" fillId="0" borderId="5" xfId="2" applyFont="1" applyFill="1" applyBorder="1"/>
    <xf numFmtId="44" fontId="6" fillId="0" borderId="0" xfId="0" applyNumberFormat="1" applyFont="1" applyFill="1" applyBorder="1"/>
    <xf numFmtId="44" fontId="6" fillId="0" borderId="6" xfId="0" applyNumberFormat="1" applyFont="1" applyFill="1" applyBorder="1"/>
    <xf numFmtId="0" fontId="6" fillId="0" borderId="5" xfId="0" applyFont="1" applyFill="1" applyBorder="1"/>
    <xf numFmtId="0" fontId="6" fillId="0" borderId="0" xfId="0" applyFont="1" applyFill="1" applyBorder="1"/>
    <xf numFmtId="44" fontId="15" fillId="0" borderId="6" xfId="0" applyNumberFormat="1" applyFont="1" applyFill="1" applyBorder="1"/>
    <xf numFmtId="44" fontId="2" fillId="4" borderId="5" xfId="2" applyFont="1" applyFill="1" applyBorder="1" applyAlignment="1">
      <alignment horizontal="right"/>
    </xf>
    <xf numFmtId="44" fontId="2" fillId="4" borderId="0" xfId="2" applyFont="1" applyFill="1" applyBorder="1"/>
    <xf numFmtId="0" fontId="29" fillId="0" borderId="0" xfId="0" applyFont="1"/>
    <xf numFmtId="0" fontId="30" fillId="0" borderId="0" xfId="0" applyFont="1"/>
    <xf numFmtId="168" fontId="30" fillId="0" borderId="0" xfId="0" applyNumberFormat="1" applyFont="1"/>
    <xf numFmtId="9" fontId="30" fillId="0" borderId="0" xfId="3" applyFont="1"/>
    <xf numFmtId="14" fontId="30" fillId="0" borderId="0" xfId="0" applyNumberFormat="1" applyFont="1"/>
    <xf numFmtId="0" fontId="30" fillId="0" borderId="0" xfId="0" applyFont="1" applyAlignment="1">
      <alignment horizontal="left"/>
    </xf>
    <xf numFmtId="0" fontId="31" fillId="4" borderId="19" xfId="0" applyFont="1" applyFill="1" applyBorder="1" applyAlignment="1">
      <alignment horizontal="center" wrapText="1"/>
    </xf>
    <xf numFmtId="168" fontId="30" fillId="0" borderId="20" xfId="0" applyNumberFormat="1" applyFont="1" applyBorder="1" applyAlignment="1">
      <alignment horizontal="right"/>
    </xf>
    <xf numFmtId="0" fontId="32" fillId="0" borderId="22" xfId="2" quotePrefix="1" applyNumberFormat="1" applyFont="1" applyFill="1" applyBorder="1"/>
    <xf numFmtId="9" fontId="30" fillId="0" borderId="20" xfId="3" applyFont="1" applyBorder="1" applyAlignment="1">
      <alignment horizontal="right"/>
    </xf>
    <xf numFmtId="0" fontId="33" fillId="0" borderId="0" xfId="4" applyFont="1"/>
    <xf numFmtId="0" fontId="35" fillId="0" borderId="0" xfId="0" applyFont="1" applyAlignment="1">
      <alignment horizontal="center"/>
    </xf>
    <xf numFmtId="168" fontId="35" fillId="0" borderId="0" xfId="0" applyNumberFormat="1" applyFont="1" applyAlignment="1">
      <alignment horizontal="center"/>
    </xf>
    <xf numFmtId="168" fontId="36" fillId="10" borderId="20" xfId="0" applyNumberFormat="1" applyFont="1" applyFill="1" applyBorder="1" applyAlignment="1">
      <alignment horizontal="centerContinuous" vertical="center"/>
    </xf>
    <xf numFmtId="9" fontId="36" fillId="10" borderId="22" xfId="3" applyFont="1" applyFill="1" applyBorder="1" applyAlignment="1">
      <alignment horizontal="centerContinuous" vertical="center"/>
    </xf>
    <xf numFmtId="0" fontId="31" fillId="4" borderId="23" xfId="0" applyFont="1" applyFill="1" applyBorder="1" applyAlignment="1">
      <alignment horizontal="center" wrapText="1"/>
    </xf>
    <xf numFmtId="169" fontId="30" fillId="0" borderId="19" xfId="0" applyNumberFormat="1" applyFont="1" applyBorder="1"/>
    <xf numFmtId="0" fontId="30" fillId="0" borderId="19" xfId="0" applyFont="1" applyBorder="1"/>
    <xf numFmtId="168" fontId="30" fillId="0" borderId="19" xfId="0" applyNumberFormat="1" applyFont="1" applyBorder="1"/>
    <xf numFmtId="9" fontId="30" fillId="0" borderId="19" xfId="3" applyFont="1" applyBorder="1"/>
    <xf numFmtId="169" fontId="30" fillId="0" borderId="9" xfId="0" applyNumberFormat="1" applyFont="1" applyBorder="1"/>
    <xf numFmtId="0" fontId="30" fillId="0" borderId="9" xfId="0" applyFont="1" applyBorder="1"/>
    <xf numFmtId="168" fontId="30" fillId="0" borderId="9" xfId="0" applyNumberFormat="1" applyFont="1" applyBorder="1"/>
    <xf numFmtId="9" fontId="30" fillId="0" borderId="9" xfId="3" applyFont="1" applyBorder="1"/>
    <xf numFmtId="0" fontId="34" fillId="0" borderId="15" xfId="0" applyFont="1" applyBorder="1"/>
    <xf numFmtId="0" fontId="34" fillId="0" borderId="16" xfId="0" applyFont="1" applyBorder="1"/>
    <xf numFmtId="168" fontId="34" fillId="0" borderId="17" xfId="0" applyNumberFormat="1" applyFont="1" applyBorder="1"/>
    <xf numFmtId="168" fontId="34" fillId="0" borderId="25" xfId="0" applyNumberFormat="1" applyFont="1" applyBorder="1"/>
    <xf numFmtId="168" fontId="34" fillId="0" borderId="24" xfId="0" applyNumberFormat="1" applyFont="1" applyBorder="1"/>
    <xf numFmtId="9" fontId="34" fillId="0" borderId="18" xfId="3" applyFont="1" applyBorder="1"/>
    <xf numFmtId="0" fontId="30" fillId="11" borderId="0" xfId="0" applyFont="1" applyFill="1" applyAlignment="1">
      <alignment horizontal="left"/>
    </xf>
    <xf numFmtId="0" fontId="34" fillId="4" borderId="19" xfId="0" applyFont="1" applyFill="1" applyBorder="1" applyAlignment="1">
      <alignment horizontal="center" wrapText="1"/>
    </xf>
    <xf numFmtId="168" fontId="36" fillId="10" borderId="2" xfId="0" applyNumberFormat="1" applyFont="1" applyFill="1" applyBorder="1" applyAlignment="1">
      <alignment horizontal="centerContinuous" vertical="center"/>
    </xf>
    <xf numFmtId="168" fontId="30" fillId="0" borderId="7" xfId="0" applyNumberFormat="1" applyFont="1" applyBorder="1" applyAlignment="1">
      <alignment horizontal="right"/>
    </xf>
    <xf numFmtId="0" fontId="32" fillId="0" borderId="8" xfId="2" quotePrefix="1" applyNumberFormat="1" applyFont="1" applyFill="1" applyBorder="1"/>
    <xf numFmtId="9" fontId="30" fillId="0" borderId="7" xfId="3" applyFont="1" applyBorder="1" applyAlignment="1">
      <alignment horizontal="right"/>
    </xf>
    <xf numFmtId="0" fontId="6" fillId="0" borderId="0" xfId="0" applyNumberFormat="1" applyFont="1" applyAlignment="1">
      <alignment horizontal="center"/>
    </xf>
    <xf numFmtId="0" fontId="6" fillId="0" borderId="1" xfId="0" applyFont="1" applyBorder="1" applyAlignment="1">
      <alignment horizontal="center"/>
    </xf>
    <xf numFmtId="0" fontId="30" fillId="0" borderId="19" xfId="1" applyNumberFormat="1" applyFont="1" applyBorder="1" applyAlignment="1">
      <alignment horizontal="center"/>
    </xf>
    <xf numFmtId="0" fontId="30" fillId="0" borderId="19" xfId="0" applyNumberFormat="1" applyFont="1" applyBorder="1"/>
    <xf numFmtId="0" fontId="30" fillId="0" borderId="9" xfId="0" applyNumberFormat="1" applyFont="1" applyBorder="1"/>
    <xf numFmtId="0" fontId="30" fillId="0" borderId="9" xfId="1" applyNumberFormat="1" applyFont="1" applyBorder="1" applyAlignment="1">
      <alignment horizontal="center"/>
    </xf>
    <xf numFmtId="0" fontId="30" fillId="0" borderId="17" xfId="0" applyFont="1" applyBorder="1"/>
    <xf numFmtId="0" fontId="30" fillId="0" borderId="17" xfId="1" applyNumberFormat="1" applyFont="1" applyBorder="1" applyAlignment="1">
      <alignment horizontal="center"/>
    </xf>
    <xf numFmtId="0" fontId="30" fillId="0" borderId="17" xfId="0" applyNumberFormat="1" applyFont="1" applyBorder="1"/>
    <xf numFmtId="0" fontId="30" fillId="0" borderId="0" xfId="0" applyFont="1" applyFill="1" applyBorder="1"/>
    <xf numFmtId="0" fontId="30" fillId="0" borderId="19" xfId="0" applyFont="1" applyBorder="1" applyAlignment="1">
      <alignment wrapText="1"/>
    </xf>
    <xf numFmtId="0" fontId="31" fillId="4" borderId="19" xfId="0" applyFont="1" applyFill="1" applyBorder="1" applyAlignment="1">
      <alignment wrapText="1"/>
    </xf>
    <xf numFmtId="0" fontId="31" fillId="4" borderId="20" xfId="0" applyFont="1" applyFill="1" applyBorder="1" applyAlignment="1">
      <alignment horizontal="center" wrapText="1"/>
    </xf>
    <xf numFmtId="168" fontId="30" fillId="0" borderId="20" xfId="2" applyNumberFormat="1" applyFont="1" applyFill="1" applyBorder="1"/>
    <xf numFmtId="9" fontId="30" fillId="0" borderId="19" xfId="3" applyFont="1" applyBorder="1" applyAlignment="1">
      <alignment horizontal="right"/>
    </xf>
    <xf numFmtId="168" fontId="30" fillId="0" borderId="20" xfId="2" applyNumberFormat="1" applyFont="1" applyFill="1" applyBorder="1" applyAlignment="1">
      <alignment horizontal="right"/>
    </xf>
    <xf numFmtId="44" fontId="34" fillId="0" borderId="19" xfId="2" applyFont="1" applyFill="1" applyBorder="1"/>
    <xf numFmtId="168" fontId="34" fillId="0" borderId="20" xfId="2" applyNumberFormat="1" applyFont="1" applyFill="1" applyBorder="1"/>
    <xf numFmtId="9" fontId="34" fillId="0" borderId="19" xfId="3" applyFont="1" applyBorder="1" applyAlignment="1">
      <alignment horizontal="right"/>
    </xf>
    <xf numFmtId="0" fontId="34" fillId="0" borderId="0" xfId="0" applyFont="1"/>
    <xf numFmtId="0" fontId="35" fillId="0" borderId="0" xfId="0" applyFont="1"/>
    <xf numFmtId="168" fontId="30" fillId="0" borderId="19" xfId="0" applyNumberFormat="1" applyFont="1" applyBorder="1" applyAlignment="1">
      <alignment horizontal="right"/>
    </xf>
    <xf numFmtId="9" fontId="34" fillId="0" borderId="17" xfId="3" applyFont="1" applyBorder="1"/>
    <xf numFmtId="0" fontId="38" fillId="0" borderId="0" xfId="0" applyFont="1"/>
    <xf numFmtId="0" fontId="36" fillId="10" borderId="20" xfId="0" applyFont="1" applyFill="1" applyBorder="1" applyAlignment="1">
      <alignment horizontal="centerContinuous"/>
    </xf>
    <xf numFmtId="0" fontId="36" fillId="10" borderId="22" xfId="0" applyFont="1" applyFill="1" applyBorder="1" applyAlignment="1">
      <alignment horizontal="centerContinuous"/>
    </xf>
    <xf numFmtId="0" fontId="36" fillId="10" borderId="3" xfId="0" applyFont="1" applyFill="1" applyBorder="1" applyAlignment="1">
      <alignment horizontal="centerContinuous" vertical="center"/>
    </xf>
    <xf numFmtId="0" fontId="36" fillId="10" borderId="4" xfId="0" applyFont="1" applyFill="1" applyBorder="1" applyAlignment="1">
      <alignment horizontal="centerContinuous" vertical="center"/>
    </xf>
    <xf numFmtId="168" fontId="30" fillId="0" borderId="19" xfId="2" applyNumberFormat="1" applyFont="1" applyFill="1" applyBorder="1"/>
    <xf numFmtId="9" fontId="30" fillId="0" borderId="19" xfId="3" applyFont="1" applyFill="1" applyBorder="1"/>
    <xf numFmtId="168" fontId="30" fillId="0" borderId="19" xfId="2" applyNumberFormat="1" applyFont="1" applyFill="1" applyBorder="1" applyAlignment="1">
      <alignment horizontal="right"/>
    </xf>
    <xf numFmtId="9" fontId="30" fillId="0" borderId="19" xfId="3" applyFont="1" applyFill="1" applyBorder="1" applyAlignment="1">
      <alignment horizontal="right"/>
    </xf>
    <xf numFmtId="168" fontId="34" fillId="0" borderId="19" xfId="2" applyNumberFormat="1" applyFont="1" applyFill="1" applyBorder="1"/>
    <xf numFmtId="9" fontId="31" fillId="0" borderId="19" xfId="2" applyNumberFormat="1" applyFont="1" applyFill="1" applyBorder="1"/>
    <xf numFmtId="44" fontId="34" fillId="0" borderId="20" xfId="2" applyFont="1" applyFill="1" applyBorder="1"/>
    <xf numFmtId="44" fontId="34" fillId="0" borderId="22" xfId="2" applyFont="1" applyFill="1" applyBorder="1"/>
    <xf numFmtId="9" fontId="34" fillId="0" borderId="19" xfId="2" applyNumberFormat="1" applyFont="1" applyFill="1" applyBorder="1"/>
    <xf numFmtId="10" fontId="30" fillId="0" borderId="0" xfId="0" applyNumberFormat="1" applyFont="1"/>
    <xf numFmtId="0" fontId="0" fillId="0" borderId="19" xfId="0" applyBorder="1"/>
    <xf numFmtId="0" fontId="0" fillId="0" borderId="20" xfId="0" applyBorder="1" applyAlignment="1">
      <alignment horizontal="left"/>
    </xf>
    <xf numFmtId="0" fontId="0" fillId="0" borderId="21" xfId="0" applyBorder="1" applyAlignment="1">
      <alignment horizontal="left"/>
    </xf>
    <xf numFmtId="0" fontId="0" fillId="0" borderId="22" xfId="0" applyBorder="1" applyAlignment="1">
      <alignment horizontal="left"/>
    </xf>
    <xf numFmtId="0" fontId="6" fillId="0" borderId="20" xfId="0" applyFont="1" applyBorder="1" applyAlignment="1">
      <alignment horizontal="left"/>
    </xf>
    <xf numFmtId="0" fontId="6" fillId="0" borderId="21" xfId="0" applyFont="1" applyBorder="1" applyAlignment="1">
      <alignment horizontal="left"/>
    </xf>
    <xf numFmtId="0" fontId="6" fillId="0" borderId="22" xfId="0" applyFont="1" applyBorder="1" applyAlignment="1">
      <alignment horizontal="left"/>
    </xf>
    <xf numFmtId="2" fontId="30" fillId="0" borderId="0" xfId="0" applyNumberFormat="1" applyFont="1"/>
    <xf numFmtId="166" fontId="1" fillId="0" borderId="0" xfId="0" applyNumberFormat="1" applyFont="1"/>
    <xf numFmtId="9" fontId="30" fillId="0" borderId="28" xfId="3" applyFont="1" applyBorder="1" applyAlignment="1">
      <alignment horizontal="right"/>
    </xf>
    <xf numFmtId="44" fontId="6" fillId="0" borderId="0" xfId="0" applyNumberFormat="1" applyFont="1"/>
    <xf numFmtId="43" fontId="6" fillId="0" borderId="5" xfId="0" applyNumberFormat="1" applyFont="1" applyBorder="1"/>
    <xf numFmtId="43" fontId="34" fillId="0" borderId="0" xfId="1" applyFont="1"/>
    <xf numFmtId="43" fontId="34" fillId="0" borderId="0" xfId="0" applyNumberFormat="1" applyFont="1"/>
    <xf numFmtId="0" fontId="31" fillId="4" borderId="26" xfId="0" applyFont="1" applyFill="1" applyBorder="1" applyAlignment="1">
      <alignment horizontal="center" wrapText="1"/>
    </xf>
    <xf numFmtId="0" fontId="34" fillId="4" borderId="20" xfId="0" applyFont="1" applyFill="1" applyBorder="1" applyAlignment="1">
      <alignment horizontal="center" wrapText="1"/>
    </xf>
    <xf numFmtId="0" fontId="34" fillId="4" borderId="21" xfId="0" applyFont="1" applyFill="1" applyBorder="1" applyAlignment="1">
      <alignment horizontal="center" wrapText="1"/>
    </xf>
    <xf numFmtId="0" fontId="34" fillId="4" borderId="22" xfId="0" applyFont="1" applyFill="1" applyBorder="1" applyAlignment="1">
      <alignment horizontal="center" wrapText="1"/>
    </xf>
    <xf numFmtId="0" fontId="31" fillId="4" borderId="26" xfId="0" applyFont="1" applyFill="1" applyBorder="1" applyAlignment="1">
      <alignment horizontal="center" wrapText="1"/>
    </xf>
    <xf numFmtId="0" fontId="31" fillId="4" borderId="27" xfId="0" applyFont="1" applyFill="1" applyBorder="1" applyAlignment="1">
      <alignment horizontal="center" wrapText="1"/>
    </xf>
    <xf numFmtId="0" fontId="30" fillId="0" borderId="0" xfId="0" applyFont="1" applyAlignment="1">
      <alignment horizontal="left" vertical="top" wrapText="1"/>
    </xf>
    <xf numFmtId="0" fontId="0" fillId="0" borderId="0" xfId="0" applyAlignment="1">
      <alignment horizontal="left" vertical="top" wrapText="1"/>
    </xf>
    <xf numFmtId="0" fontId="6" fillId="0" borderId="0" xfId="0" applyFont="1" applyAlignment="1">
      <alignment horizontal="left" vertical="top" wrapText="1"/>
    </xf>
    <xf numFmtId="43" fontId="4" fillId="0" borderId="0" xfId="1" applyFont="1" applyAlignment="1">
      <alignment horizontal="center" wrapText="1"/>
    </xf>
    <xf numFmtId="0" fontId="10" fillId="0" borderId="6" xfId="0" applyFont="1" applyBorder="1" applyAlignment="1">
      <alignment horizontal="center" textRotation="90" wrapText="1"/>
    </xf>
    <xf numFmtId="0" fontId="10" fillId="0" borderId="8" xfId="0" applyFont="1" applyBorder="1" applyAlignment="1">
      <alignment horizontal="center" textRotation="90" wrapText="1"/>
    </xf>
    <xf numFmtId="0" fontId="30" fillId="0" borderId="0" xfId="0" applyFont="1" applyFill="1" applyBorder="1" applyAlignment="1">
      <alignment horizontal="left" vertical="top" wrapText="1"/>
    </xf>
  </cellXfs>
  <cellStyles count="11">
    <cellStyle name="Comma" xfId="1" builtinId="3"/>
    <cellStyle name="Currency" xfId="2" builtinId="4"/>
    <cellStyle name="Hyperlink" xfId="4" builtinId="8"/>
    <cellStyle name="Normal" xfId="0" builtinId="0"/>
    <cellStyle name="Normal 2" xfId="6" xr:uid="{C25CC1D2-6FF3-460F-B8B7-CBA3F9A440BC}"/>
    <cellStyle name="Normal 2 2" xfId="8" xr:uid="{088033F9-1AF0-4734-A483-037011BEAAC9}"/>
    <cellStyle name="Normal 3" xfId="5" xr:uid="{45128418-0036-4999-9FBA-5782C867CEE7}"/>
    <cellStyle name="Normal_tbls1_13_a" xfId="7" xr:uid="{C415FC11-CC67-4969-B829-4E1B1E0615DA}"/>
    <cellStyle name="Percent" xfId="3" builtinId="5"/>
    <cellStyle name="Percent 2" xfId="10" xr:uid="{82F58C1E-FC81-4707-ADBB-15B2E31186BC}"/>
    <cellStyle name="rowhead_tbls1_13_a" xfId="9" xr:uid="{30D6BC91-FE24-40C8-A183-61013CA277A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10.bin"/><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11.bin"/><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12.bin"/><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13.bin"/><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printerSettings" Target="../printerSettings/printerSettings2.bin"/><Relationship Id="rId1" Type="http://schemas.openxmlformats.org/officeDocument/2006/relationships/hyperlink" Target="https://health.utah.gov/stplan/lookup/FeeScheduleDownload.php" TargetMode="External"/></Relationships>
</file>

<file path=xl/worksheets/_rels/sheet3.xml.rels><?xml version="1.0" encoding="UTF-8" standalone="yes"?>
<Relationships xmlns="http://schemas.openxmlformats.org/package/2006/relationships"><Relationship Id="rId1" Type="http://schemas.openxmlformats.org/officeDocument/2006/relationships/customProperty" Target="../customProperty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hyperlink" Target="https://health.utah.gov/stplan/lookup/FeeScheduleDownload.php" TargetMode="External"/></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customProperty" Target="../customProperty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youtube.com/watch?v=9aDHbRb4Bf8" TargetMode="External"/><Relationship Id="rId1" Type="http://schemas.openxmlformats.org/officeDocument/2006/relationships/hyperlink" Target="https://www.khanacademy.org/math/statistics-probability/summarizing-quantitative-data/box-whisker-plots/a/identifying-outliers-iqr-rule" TargetMode="External"/><Relationship Id="rId4" Type="http://schemas.openxmlformats.org/officeDocument/2006/relationships/customProperty" Target="../customProperty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438CF-42C1-41CA-82BF-EE29E93A71A5}">
  <sheetPr>
    <pageSetUpPr fitToPage="1"/>
  </sheetPr>
  <dimension ref="A1:N19"/>
  <sheetViews>
    <sheetView tabSelected="1" workbookViewId="0">
      <selection activeCell="C23" sqref="C23"/>
    </sheetView>
  </sheetViews>
  <sheetFormatPr defaultRowHeight="15" x14ac:dyDescent="0.25"/>
  <cols>
    <col min="1" max="1" width="11.28515625" style="184" customWidth="1"/>
    <col min="2" max="16384" width="9.140625" style="184"/>
  </cols>
  <sheetData>
    <row r="1" spans="1:14" ht="18.75" x14ac:dyDescent="0.3">
      <c r="A1" s="183" t="s">
        <v>414</v>
      </c>
    </row>
    <row r="2" spans="1:14" ht="18.75" x14ac:dyDescent="0.3">
      <c r="A2" s="183" t="s">
        <v>415</v>
      </c>
    </row>
    <row r="3" spans="1:14" ht="18.75" x14ac:dyDescent="0.3">
      <c r="A3" s="183" t="s">
        <v>434</v>
      </c>
    </row>
    <row r="4" spans="1:14" x14ac:dyDescent="0.25">
      <c r="A4" s="213" t="s">
        <v>491</v>
      </c>
    </row>
    <row r="6" spans="1:14" ht="15" customHeight="1" x14ac:dyDescent="0.25">
      <c r="A6" s="214" t="s">
        <v>417</v>
      </c>
      <c r="B6" s="272" t="s">
        <v>411</v>
      </c>
      <c r="C6" s="273"/>
      <c r="D6" s="273"/>
      <c r="E6" s="273"/>
      <c r="F6" s="273"/>
      <c r="G6" s="273"/>
      <c r="H6" s="273"/>
      <c r="I6" s="273"/>
      <c r="J6" s="273"/>
      <c r="K6" s="273"/>
      <c r="L6" s="273"/>
      <c r="M6" s="273"/>
      <c r="N6" s="274"/>
    </row>
    <row r="7" spans="1:14" x14ac:dyDescent="0.25">
      <c r="A7" s="257" t="s">
        <v>416</v>
      </c>
      <c r="B7" s="258" t="s">
        <v>491</v>
      </c>
      <c r="C7" s="259"/>
      <c r="D7" s="259"/>
      <c r="E7" s="259"/>
      <c r="F7" s="259"/>
      <c r="G7" s="259"/>
      <c r="H7" s="259"/>
      <c r="I7" s="259"/>
      <c r="J7" s="259"/>
      <c r="K7" s="259"/>
      <c r="L7" s="259"/>
      <c r="M7" s="259"/>
      <c r="N7" s="260"/>
    </row>
    <row r="8" spans="1:14" x14ac:dyDescent="0.25">
      <c r="A8" s="257" t="s">
        <v>492</v>
      </c>
      <c r="B8" s="261" t="s">
        <v>496</v>
      </c>
      <c r="C8" s="262"/>
      <c r="D8" s="262"/>
      <c r="E8" s="262"/>
      <c r="F8" s="262"/>
      <c r="G8" s="262"/>
      <c r="H8" s="262"/>
      <c r="I8" s="262"/>
      <c r="J8" s="262"/>
      <c r="K8" s="262"/>
      <c r="L8" s="262"/>
      <c r="M8" s="262"/>
      <c r="N8" s="263"/>
    </row>
    <row r="9" spans="1:14" x14ac:dyDescent="0.25">
      <c r="A9" s="257" t="s">
        <v>493</v>
      </c>
      <c r="B9" s="261" t="s">
        <v>497</v>
      </c>
      <c r="C9" s="262"/>
      <c r="D9" s="262"/>
      <c r="E9" s="262"/>
      <c r="F9" s="262"/>
      <c r="G9" s="262"/>
      <c r="H9" s="262"/>
      <c r="I9" s="262"/>
      <c r="J9" s="262"/>
      <c r="K9" s="262"/>
      <c r="L9" s="262"/>
      <c r="M9" s="262"/>
      <c r="N9" s="263"/>
    </row>
    <row r="10" spans="1:14" x14ac:dyDescent="0.25">
      <c r="A10" s="257" t="s">
        <v>494</v>
      </c>
      <c r="B10" s="261" t="s">
        <v>498</v>
      </c>
      <c r="C10" s="262"/>
      <c r="D10" s="262"/>
      <c r="E10" s="262"/>
      <c r="F10" s="262"/>
      <c r="G10" s="262"/>
      <c r="H10" s="262"/>
      <c r="I10" s="262"/>
      <c r="J10" s="262"/>
      <c r="K10" s="262"/>
      <c r="L10" s="262"/>
      <c r="M10" s="262"/>
      <c r="N10" s="263"/>
    </row>
    <row r="11" spans="1:14" x14ac:dyDescent="0.25">
      <c r="A11" s="257" t="s">
        <v>499</v>
      </c>
      <c r="B11" s="261" t="s">
        <v>500</v>
      </c>
      <c r="C11" s="262"/>
      <c r="D11" s="262"/>
      <c r="E11" s="262"/>
      <c r="F11" s="262"/>
      <c r="G11" s="262"/>
      <c r="H11" s="262"/>
      <c r="I11" s="262"/>
      <c r="J11" s="262"/>
      <c r="K11" s="262"/>
      <c r="L11" s="262"/>
      <c r="M11" s="262"/>
      <c r="N11" s="263"/>
    </row>
    <row r="12" spans="1:14" x14ac:dyDescent="0.25">
      <c r="A12" s="257" t="s">
        <v>501</v>
      </c>
      <c r="B12" s="261" t="s">
        <v>502</v>
      </c>
      <c r="C12" s="262"/>
      <c r="D12" s="262"/>
      <c r="E12" s="262"/>
      <c r="F12" s="262"/>
      <c r="G12" s="262"/>
      <c r="H12" s="262"/>
      <c r="I12" s="262"/>
      <c r="J12" s="262"/>
      <c r="K12" s="262"/>
      <c r="L12" s="262"/>
      <c r="M12" s="262"/>
      <c r="N12" s="263"/>
    </row>
    <row r="13" spans="1:14" x14ac:dyDescent="0.25">
      <c r="A13" s="257" t="s">
        <v>503</v>
      </c>
      <c r="B13" s="261" t="s">
        <v>495</v>
      </c>
      <c r="C13" s="262"/>
      <c r="D13" s="262"/>
      <c r="E13" s="262"/>
      <c r="F13" s="262"/>
      <c r="G13" s="262"/>
      <c r="H13" s="262"/>
      <c r="I13" s="262"/>
      <c r="J13" s="262"/>
      <c r="K13" s="262"/>
      <c r="L13" s="262"/>
      <c r="M13" s="262"/>
      <c r="N13" s="263"/>
    </row>
    <row r="14" spans="1:14" x14ac:dyDescent="0.25">
      <c r="A14" s="257" t="s">
        <v>508</v>
      </c>
      <c r="B14" s="261" t="s">
        <v>514</v>
      </c>
      <c r="C14" s="262"/>
      <c r="D14" s="262"/>
      <c r="E14" s="262"/>
      <c r="F14" s="262"/>
      <c r="G14" s="262"/>
      <c r="H14" s="262"/>
      <c r="I14" s="262"/>
      <c r="J14" s="262"/>
      <c r="K14" s="262"/>
      <c r="L14" s="262"/>
      <c r="M14" s="262"/>
      <c r="N14" s="263"/>
    </row>
    <row r="15" spans="1:14" x14ac:dyDescent="0.25">
      <c r="A15" s="257" t="s">
        <v>509</v>
      </c>
      <c r="B15" s="261" t="s">
        <v>515</v>
      </c>
      <c r="C15" s="262"/>
      <c r="D15" s="262"/>
      <c r="E15" s="262"/>
      <c r="F15" s="262"/>
      <c r="G15" s="262"/>
      <c r="H15" s="262"/>
      <c r="I15" s="262"/>
      <c r="J15" s="262"/>
      <c r="K15" s="262"/>
      <c r="L15" s="262"/>
      <c r="M15" s="262"/>
      <c r="N15" s="263"/>
    </row>
    <row r="16" spans="1:14" x14ac:dyDescent="0.25">
      <c r="A16" s="257" t="s">
        <v>510</v>
      </c>
      <c r="B16" s="261" t="s">
        <v>516</v>
      </c>
      <c r="C16" s="262"/>
      <c r="D16" s="262"/>
      <c r="E16" s="262"/>
      <c r="F16" s="262"/>
      <c r="G16" s="262"/>
      <c r="H16" s="262"/>
      <c r="I16" s="262"/>
      <c r="J16" s="262"/>
      <c r="K16" s="262"/>
      <c r="L16" s="262"/>
      <c r="M16" s="262"/>
      <c r="N16" s="263"/>
    </row>
    <row r="17" spans="1:14" x14ac:dyDescent="0.25">
      <c r="A17" s="257" t="s">
        <v>511</v>
      </c>
      <c r="B17" s="261" t="s">
        <v>517</v>
      </c>
      <c r="C17" s="262"/>
      <c r="D17" s="262"/>
      <c r="E17" s="262"/>
      <c r="F17" s="262"/>
      <c r="G17" s="262"/>
      <c r="H17" s="262"/>
      <c r="I17" s="262"/>
      <c r="J17" s="262"/>
      <c r="K17" s="262"/>
      <c r="L17" s="262"/>
      <c r="M17" s="262"/>
      <c r="N17" s="263"/>
    </row>
    <row r="18" spans="1:14" x14ac:dyDescent="0.25">
      <c r="A18" s="257" t="s">
        <v>512</v>
      </c>
      <c r="B18" s="261" t="s">
        <v>519</v>
      </c>
      <c r="C18" s="262"/>
      <c r="D18" s="262"/>
      <c r="E18" s="262"/>
      <c r="F18" s="262"/>
      <c r="G18" s="262"/>
      <c r="H18" s="262"/>
      <c r="I18" s="262"/>
      <c r="J18" s="262"/>
      <c r="K18" s="262"/>
      <c r="L18" s="262"/>
      <c r="M18" s="262"/>
      <c r="N18" s="263"/>
    </row>
    <row r="19" spans="1:14" x14ac:dyDescent="0.25">
      <c r="A19" s="257" t="s">
        <v>513</v>
      </c>
      <c r="B19" s="261" t="s">
        <v>518</v>
      </c>
      <c r="C19" s="262"/>
      <c r="D19" s="262"/>
      <c r="E19" s="262"/>
      <c r="F19" s="262"/>
      <c r="G19" s="262"/>
      <c r="H19" s="262"/>
      <c r="I19" s="262"/>
      <c r="J19" s="262"/>
      <c r="K19" s="262"/>
      <c r="L19" s="262"/>
      <c r="M19" s="262"/>
      <c r="N19" s="263"/>
    </row>
  </sheetData>
  <mergeCells count="1">
    <mergeCell ref="B6:N6"/>
  </mergeCells>
  <phoneticPr fontId="27" type="noConversion"/>
  <pageMargins left="0.7" right="0.7" top="0.75" bottom="0.75" header="0.3" footer="0.3"/>
  <pageSetup scale="90" orientation="landscape" r:id="rId1"/>
  <customProperties>
    <customPr name="OrphanNamesChecke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7901F-113E-4E65-A84C-A637E5C0EF97}">
  <sheetPr>
    <tabColor rgb="FF92D050"/>
    <pageSetUpPr fitToPage="1"/>
  </sheetPr>
  <dimension ref="A1:AC96"/>
  <sheetViews>
    <sheetView workbookViewId="0"/>
  </sheetViews>
  <sheetFormatPr defaultRowHeight="15" x14ac:dyDescent="0.25"/>
  <cols>
    <col min="1" max="1" width="6.5703125" customWidth="1"/>
    <col min="2" max="2" width="27.85546875" style="1" customWidth="1"/>
    <col min="3" max="3" width="9.42578125" style="20" customWidth="1"/>
    <col min="4" max="7" width="10" style="2" customWidth="1"/>
    <col min="8" max="8" width="12.85546875" customWidth="1"/>
    <col min="9" max="9" width="11.28515625" customWidth="1"/>
    <col min="10" max="10" width="12.85546875" style="77" customWidth="1"/>
    <col min="11" max="11" width="11.42578125" style="120" customWidth="1"/>
    <col min="12" max="12" width="4.28515625" style="85" customWidth="1"/>
    <col min="13" max="13" width="12.85546875" customWidth="1"/>
    <col min="14" max="14" width="11.28515625" customWidth="1"/>
    <col min="15" max="15" width="11.42578125" style="77" customWidth="1"/>
    <col min="16" max="16" width="11.42578125" style="68" customWidth="1"/>
    <col min="17" max="17" width="12.85546875" customWidth="1"/>
    <col min="18" max="18" width="11.28515625" customWidth="1"/>
    <col min="19" max="19" width="11.42578125" style="77" customWidth="1"/>
    <col min="20" max="20" width="11.42578125" style="68" customWidth="1"/>
    <col min="21" max="21" width="10" customWidth="1"/>
    <col min="22" max="22" width="8.85546875" customWidth="1"/>
    <col min="23" max="24" width="11.42578125" style="4" customWidth="1"/>
    <col min="25" max="25" width="24.140625" customWidth="1"/>
  </cols>
  <sheetData>
    <row r="1" spans="1:29" s="18" customFormat="1" ht="39" customHeight="1" x14ac:dyDescent="0.55000000000000004">
      <c r="A1" s="9" t="s">
        <v>392</v>
      </c>
      <c r="B1" s="10"/>
      <c r="C1" s="10"/>
      <c r="D1" s="6"/>
      <c r="E1" s="6"/>
      <c r="F1" s="6"/>
      <c r="G1" s="6"/>
      <c r="H1" s="14" t="s">
        <v>230</v>
      </c>
      <c r="I1" s="14"/>
      <c r="J1" s="14"/>
      <c r="K1" s="15"/>
      <c r="L1" s="16"/>
      <c r="M1" s="12" t="s">
        <v>1</v>
      </c>
      <c r="N1" s="12"/>
      <c r="O1" s="12"/>
      <c r="P1" s="13"/>
      <c r="Q1" s="12" t="s">
        <v>229</v>
      </c>
      <c r="R1" s="12"/>
      <c r="S1" s="12"/>
      <c r="T1" s="13"/>
      <c r="U1" s="17" t="s">
        <v>12</v>
      </c>
      <c r="V1" s="17" t="s">
        <v>14</v>
      </c>
      <c r="W1" s="17" t="s">
        <v>207</v>
      </c>
      <c r="X1" s="17" t="s">
        <v>234</v>
      </c>
      <c r="Y1" s="5" t="s">
        <v>235</v>
      </c>
      <c r="Z1" s="5" t="s">
        <v>236</v>
      </c>
    </row>
    <row r="2" spans="1:29" ht="18.75" x14ac:dyDescent="0.4">
      <c r="A2" s="19" t="s">
        <v>237</v>
      </c>
      <c r="D2" s="1"/>
      <c r="G2" s="113" t="s">
        <v>257</v>
      </c>
      <c r="H2" s="24" t="s">
        <v>238</v>
      </c>
      <c r="I2" s="24" t="s">
        <v>239</v>
      </c>
      <c r="J2" s="78" t="s">
        <v>240</v>
      </c>
      <c r="K2" s="78" t="s">
        <v>258</v>
      </c>
      <c r="L2" s="281" t="s">
        <v>384</v>
      </c>
      <c r="M2" s="22" t="s">
        <v>238</v>
      </c>
      <c r="N2" s="22" t="s">
        <v>239</v>
      </c>
      <c r="O2" s="73" t="s">
        <v>240</v>
      </c>
      <c r="P2" s="23" t="s">
        <v>258</v>
      </c>
      <c r="Q2" s="22" t="s">
        <v>238</v>
      </c>
      <c r="R2" s="22" t="s">
        <v>239</v>
      </c>
      <c r="S2" s="73" t="s">
        <v>240</v>
      </c>
      <c r="T2" s="23" t="s">
        <v>258</v>
      </c>
      <c r="U2" s="25"/>
      <c r="V2" s="25"/>
      <c r="W2" s="25"/>
      <c r="X2" s="25"/>
    </row>
    <row r="3" spans="1:29" s="5" customFormat="1" x14ac:dyDescent="0.25">
      <c r="A3" s="19" t="s">
        <v>241</v>
      </c>
      <c r="B3" s="8"/>
      <c r="C3" s="8" t="s">
        <v>242</v>
      </c>
      <c r="D3" s="8"/>
      <c r="E3" s="26"/>
      <c r="F3" s="26" t="s">
        <v>255</v>
      </c>
      <c r="G3" s="114" t="s">
        <v>259</v>
      </c>
      <c r="H3" s="8"/>
      <c r="I3" s="8"/>
      <c r="J3" s="74"/>
      <c r="K3" s="116" t="s">
        <v>259</v>
      </c>
      <c r="L3" s="281"/>
      <c r="M3" s="8" t="s">
        <v>7</v>
      </c>
      <c r="N3" s="8" t="s">
        <v>7</v>
      </c>
      <c r="O3" s="74" t="s">
        <v>7</v>
      </c>
      <c r="P3" s="28" t="s">
        <v>259</v>
      </c>
      <c r="Q3" s="8" t="s">
        <v>8</v>
      </c>
      <c r="R3" s="8" t="s">
        <v>8</v>
      </c>
      <c r="S3" s="74" t="s">
        <v>8</v>
      </c>
      <c r="T3" s="28" t="s">
        <v>259</v>
      </c>
      <c r="U3" s="8" t="s">
        <v>3</v>
      </c>
      <c r="V3" s="8" t="s">
        <v>3</v>
      </c>
      <c r="W3" s="3"/>
      <c r="X3" s="3"/>
    </row>
    <row r="4" spans="1:29" s="5" customFormat="1" x14ac:dyDescent="0.25">
      <c r="A4" s="5" t="s">
        <v>243</v>
      </c>
      <c r="B4" s="29" t="s">
        <v>13</v>
      </c>
      <c r="C4" s="29" t="s">
        <v>244</v>
      </c>
      <c r="D4" s="30" t="s">
        <v>10</v>
      </c>
      <c r="E4" s="30" t="s">
        <v>11</v>
      </c>
      <c r="F4" s="30" t="s">
        <v>256</v>
      </c>
      <c r="G4" s="115" t="s">
        <v>261</v>
      </c>
      <c r="H4" s="29"/>
      <c r="I4" s="29"/>
      <c r="J4" s="29"/>
      <c r="K4" s="117" t="s">
        <v>260</v>
      </c>
      <c r="L4" s="282"/>
      <c r="M4" s="29" t="s">
        <v>3</v>
      </c>
      <c r="N4" s="29" t="s">
        <v>4</v>
      </c>
      <c r="O4" s="29" t="s">
        <v>6</v>
      </c>
      <c r="P4" s="32" t="s">
        <v>260</v>
      </c>
      <c r="Q4" s="29" t="s">
        <v>3</v>
      </c>
      <c r="R4" s="29" t="s">
        <v>4</v>
      </c>
      <c r="S4" s="29" t="s">
        <v>6</v>
      </c>
      <c r="T4" s="32" t="s">
        <v>260</v>
      </c>
      <c r="U4" s="29" t="s">
        <v>5</v>
      </c>
      <c r="V4" s="29" t="s">
        <v>4</v>
      </c>
      <c r="W4" s="3"/>
      <c r="X4" s="3"/>
    </row>
    <row r="5" spans="1:29" s="34" customFormat="1" ht="18.75" x14ac:dyDescent="0.4">
      <c r="A5" s="33" t="s">
        <v>254</v>
      </c>
      <c r="C5" s="35"/>
      <c r="D5" s="36"/>
      <c r="E5" s="36"/>
      <c r="F5" s="36"/>
      <c r="G5" s="36"/>
      <c r="H5" s="35"/>
      <c r="I5" s="35"/>
      <c r="J5" s="75"/>
      <c r="K5" s="118"/>
      <c r="L5" s="81"/>
      <c r="M5" s="35"/>
      <c r="N5" s="35"/>
      <c r="O5" s="75"/>
      <c r="P5" s="38"/>
      <c r="Q5" s="35"/>
      <c r="R5" s="35"/>
      <c r="S5" s="75"/>
      <c r="T5" s="38"/>
      <c r="U5" s="35"/>
      <c r="V5" s="35"/>
    </row>
    <row r="6" spans="1:29" s="46" customFormat="1" x14ac:dyDescent="0.25">
      <c r="A6" s="39" t="s">
        <v>245</v>
      </c>
      <c r="B6" s="40" t="s">
        <v>189</v>
      </c>
      <c r="C6" s="41" t="s">
        <v>190</v>
      </c>
      <c r="D6" s="42">
        <v>45078</v>
      </c>
      <c r="E6" s="42">
        <v>45443</v>
      </c>
      <c r="F6" s="42">
        <f>((D6+E6)/2)</f>
        <v>45260.5</v>
      </c>
      <c r="G6" s="112">
        <f>_xlfn.XLOOKUP(F6,'A-6 CMS Market Basket Index '!$AZ$3:$AZ$8,'A-6 CMS Market Basket Index '!$BF$3:$BF$8)</f>
        <v>1.0366</v>
      </c>
      <c r="H6" s="43">
        <f t="shared" ref="H6:H37" si="0">IFERROR(M6+Q6,0)</f>
        <v>0</v>
      </c>
      <c r="I6" s="44">
        <f t="shared" ref="I6:I37" si="1">IFERROR(N6+R6,0)</f>
        <v>0</v>
      </c>
      <c r="J6" s="65">
        <f t="shared" ref="J6:J37" si="2">IFERROR(H6/I6,0)</f>
        <v>0</v>
      </c>
      <c r="K6" s="76">
        <f t="shared" ref="K6:K37" si="3">IF(J6="","",J6*$G6)</f>
        <v>0</v>
      </c>
      <c r="L6" s="51" t="str">
        <f>IF($K$96&lt;0,"",IF(K6&lt;$K$96,"OL",""))</f>
        <v/>
      </c>
      <c r="M6" s="44"/>
      <c r="N6" s="44"/>
      <c r="O6" s="65"/>
      <c r="P6" s="51" t="str">
        <f t="shared" ref="P6:P37" si="4">IF(O6="","",O6*$G6)</f>
        <v/>
      </c>
      <c r="Q6" s="44"/>
      <c r="R6" s="44"/>
      <c r="S6" s="65"/>
      <c r="T6" s="51" t="str">
        <f t="shared" ref="T6:T37" si="5">IF(S6="","",S6*$G6)</f>
        <v/>
      </c>
      <c r="U6" s="46" t="s">
        <v>191</v>
      </c>
      <c r="V6" s="46">
        <v>84317</v>
      </c>
      <c r="W6" s="69" t="s">
        <v>224</v>
      </c>
      <c r="X6" s="70" t="s">
        <v>213</v>
      </c>
      <c r="Z6" s="47"/>
      <c r="AA6" s="267"/>
      <c r="AB6" s="48"/>
      <c r="AC6" s="48"/>
    </row>
    <row r="7" spans="1:29" s="46" customFormat="1" x14ac:dyDescent="0.25">
      <c r="A7" s="39" t="s">
        <v>245</v>
      </c>
      <c r="B7" s="40" t="s">
        <v>175</v>
      </c>
      <c r="C7" s="41" t="s">
        <v>176</v>
      </c>
      <c r="D7" s="42">
        <v>44927</v>
      </c>
      <c r="E7" s="42">
        <v>45291</v>
      </c>
      <c r="F7" s="42">
        <f>((D7+E7)/2)-2</f>
        <v>45107</v>
      </c>
      <c r="G7" s="112">
        <f>_xlfn.XLOOKUP(F7,'A-6 CMS Market Basket Index '!$AZ$3:$AZ$8,'A-6 CMS Market Basket Index '!$BF$3:$BF$8)</f>
        <v>1.0538000000000001</v>
      </c>
      <c r="H7" s="43">
        <f t="shared" si="0"/>
        <v>0</v>
      </c>
      <c r="I7" s="44">
        <f t="shared" si="1"/>
        <v>0</v>
      </c>
      <c r="J7" s="65">
        <f t="shared" si="2"/>
        <v>0</v>
      </c>
      <c r="K7" s="76">
        <f t="shared" si="3"/>
        <v>0</v>
      </c>
      <c r="L7" s="51" t="str">
        <f t="shared" ref="L7:L13" si="6">IF($K$96&lt;0,"",IF(K7&lt;$K$96,"OL",""))</f>
        <v/>
      </c>
      <c r="M7" s="44"/>
      <c r="N7" s="44"/>
      <c r="O7" s="65"/>
      <c r="P7" s="51" t="str">
        <f t="shared" si="4"/>
        <v/>
      </c>
      <c r="Q7" s="44"/>
      <c r="R7" s="44"/>
      <c r="S7" s="65"/>
      <c r="T7" s="51" t="str">
        <f t="shared" si="5"/>
        <v/>
      </c>
      <c r="U7" s="46" t="s">
        <v>177</v>
      </c>
      <c r="V7" s="46">
        <v>84332</v>
      </c>
      <c r="W7" s="69" t="s">
        <v>210</v>
      </c>
      <c r="X7" s="70" t="s">
        <v>209</v>
      </c>
      <c r="Z7" s="47"/>
      <c r="AA7" s="267"/>
      <c r="AB7" s="48"/>
      <c r="AC7" s="48"/>
    </row>
    <row r="8" spans="1:29" s="46" customFormat="1" x14ac:dyDescent="0.25">
      <c r="A8" s="39" t="s">
        <v>245</v>
      </c>
      <c r="B8" s="40" t="s">
        <v>123</v>
      </c>
      <c r="C8" s="41" t="s">
        <v>124</v>
      </c>
      <c r="D8" s="42">
        <v>44927</v>
      </c>
      <c r="E8" s="42">
        <v>45291</v>
      </c>
      <c r="F8" s="42">
        <f>((D8+E8)/2)-2</f>
        <v>45107</v>
      </c>
      <c r="G8" s="112">
        <f>_xlfn.XLOOKUP(F8,'A-6 CMS Market Basket Index '!$AZ$3:$AZ$8,'A-6 CMS Market Basket Index '!$BF$3:$BF$8)</f>
        <v>1.0538000000000001</v>
      </c>
      <c r="H8" s="43">
        <f t="shared" si="0"/>
        <v>0</v>
      </c>
      <c r="I8" s="44">
        <f t="shared" si="1"/>
        <v>0</v>
      </c>
      <c r="J8" s="65">
        <f t="shared" si="2"/>
        <v>0</v>
      </c>
      <c r="K8" s="76">
        <f t="shared" si="3"/>
        <v>0</v>
      </c>
      <c r="L8" s="51" t="str">
        <f t="shared" si="6"/>
        <v/>
      </c>
      <c r="M8" s="44"/>
      <c r="N8" s="44"/>
      <c r="O8" s="65"/>
      <c r="P8" s="51" t="str">
        <f t="shared" si="4"/>
        <v/>
      </c>
      <c r="Q8" s="44"/>
      <c r="R8" s="44"/>
      <c r="S8" s="65"/>
      <c r="T8" s="51" t="str">
        <f t="shared" si="5"/>
        <v/>
      </c>
      <c r="U8" s="46" t="s">
        <v>23</v>
      </c>
      <c r="V8" s="46">
        <v>84088</v>
      </c>
      <c r="W8" s="69" t="s">
        <v>218</v>
      </c>
      <c r="X8" s="70" t="s">
        <v>209</v>
      </c>
      <c r="Z8" s="47"/>
      <c r="AA8" s="267"/>
      <c r="AB8" s="48"/>
      <c r="AC8" s="48"/>
    </row>
    <row r="9" spans="1:29" s="46" customFormat="1" x14ac:dyDescent="0.25">
      <c r="A9" s="50" t="s">
        <v>246</v>
      </c>
      <c r="B9" s="86" t="s">
        <v>27</v>
      </c>
      <c r="C9" s="87">
        <v>467038</v>
      </c>
      <c r="D9" s="88">
        <v>45108</v>
      </c>
      <c r="E9" s="88">
        <v>45473</v>
      </c>
      <c r="F9" s="42">
        <f>((D9+E9)/2)+1</f>
        <v>45291.5</v>
      </c>
      <c r="G9" s="112">
        <f>_xlfn.XLOOKUP(F9,'A-6 CMS Market Basket Index '!$AZ$3:$AZ$8,'A-6 CMS Market Basket Index '!$BF$3:$BF$8)</f>
        <v>1.0366</v>
      </c>
      <c r="H9" s="43">
        <f t="shared" si="0"/>
        <v>0</v>
      </c>
      <c r="I9" s="44">
        <f t="shared" si="1"/>
        <v>0</v>
      </c>
      <c r="J9" s="65">
        <f t="shared" si="2"/>
        <v>0</v>
      </c>
      <c r="K9" s="76">
        <f t="shared" si="3"/>
        <v>0</v>
      </c>
      <c r="L9" s="51" t="str">
        <f t="shared" si="6"/>
        <v/>
      </c>
      <c r="M9" s="49"/>
      <c r="N9" s="49"/>
      <c r="O9" s="80"/>
      <c r="P9" s="51" t="str">
        <f t="shared" si="4"/>
        <v/>
      </c>
      <c r="Q9" s="49"/>
      <c r="R9" s="49"/>
      <c r="S9" s="80"/>
      <c r="T9" s="51" t="str">
        <f t="shared" si="5"/>
        <v/>
      </c>
      <c r="U9" s="90" t="s">
        <v>26</v>
      </c>
      <c r="V9" s="90">
        <v>84713</v>
      </c>
      <c r="W9" s="91" t="s">
        <v>208</v>
      </c>
      <c r="X9" s="92" t="s">
        <v>209</v>
      </c>
      <c r="Y9" s="52" t="s">
        <v>24</v>
      </c>
      <c r="Z9" s="53" t="s">
        <v>25</v>
      </c>
      <c r="AA9" s="267"/>
      <c r="AB9" s="48"/>
      <c r="AC9" s="48"/>
    </row>
    <row r="10" spans="1:29" s="46" customFormat="1" x14ac:dyDescent="0.25">
      <c r="A10" s="50" t="s">
        <v>246</v>
      </c>
      <c r="B10" s="86" t="s">
        <v>22</v>
      </c>
      <c r="C10" s="87">
        <v>467039</v>
      </c>
      <c r="D10" s="88">
        <v>44743</v>
      </c>
      <c r="E10" s="88">
        <v>45107</v>
      </c>
      <c r="F10" s="42">
        <f>((D10+E10)/2)+1</f>
        <v>44926</v>
      </c>
      <c r="G10" s="112">
        <f>_xlfn.XLOOKUP(F10,'A-6 CMS Market Basket Index '!$AZ$3:$AZ$8,'A-6 CMS Market Basket Index '!$BF$3:$BF$8)</f>
        <v>1.0788</v>
      </c>
      <c r="H10" s="43">
        <f t="shared" si="0"/>
        <v>31677</v>
      </c>
      <c r="I10" s="44">
        <f t="shared" si="1"/>
        <v>913</v>
      </c>
      <c r="J10" s="65">
        <f t="shared" si="2"/>
        <v>34.695509309967143</v>
      </c>
      <c r="K10" s="76">
        <f t="shared" si="3"/>
        <v>37.42951544359255</v>
      </c>
      <c r="L10" s="51" t="str">
        <f t="shared" si="6"/>
        <v/>
      </c>
      <c r="M10" s="49">
        <v>31677</v>
      </c>
      <c r="N10" s="49">
        <v>913</v>
      </c>
      <c r="O10" s="80">
        <v>34.700000000000003</v>
      </c>
      <c r="P10" s="51">
        <f t="shared" si="4"/>
        <v>37.434360000000005</v>
      </c>
      <c r="Q10" s="49"/>
      <c r="R10" s="49"/>
      <c r="S10" s="80"/>
      <c r="T10" s="51" t="str">
        <f t="shared" si="5"/>
        <v/>
      </c>
      <c r="U10" s="90" t="s">
        <v>21</v>
      </c>
      <c r="V10" s="90">
        <v>84066</v>
      </c>
      <c r="W10" s="91" t="s">
        <v>214</v>
      </c>
      <c r="X10" s="92" t="s">
        <v>209</v>
      </c>
      <c r="Y10" s="52" t="s">
        <v>19</v>
      </c>
      <c r="Z10" s="53" t="s">
        <v>20</v>
      </c>
      <c r="AA10" s="267"/>
      <c r="AB10" s="48"/>
      <c r="AC10" s="48"/>
    </row>
    <row r="11" spans="1:29" s="46" customFormat="1" x14ac:dyDescent="0.25">
      <c r="A11" s="39" t="s">
        <v>245</v>
      </c>
      <c r="B11" s="40" t="s">
        <v>69</v>
      </c>
      <c r="C11" s="41" t="s">
        <v>70</v>
      </c>
      <c r="D11" s="42">
        <v>44927</v>
      </c>
      <c r="E11" s="42">
        <v>45291</v>
      </c>
      <c r="F11" s="42">
        <f t="shared" ref="F11:F16" si="7">((D11+E11)/2)-2</f>
        <v>45107</v>
      </c>
      <c r="G11" s="112">
        <f>_xlfn.XLOOKUP(F11,'A-6 CMS Market Basket Index '!$AZ$3:$AZ$8,'A-6 CMS Market Basket Index '!$BF$3:$BF$8)</f>
        <v>1.0538000000000001</v>
      </c>
      <c r="H11" s="43">
        <f t="shared" si="0"/>
        <v>53433</v>
      </c>
      <c r="I11" s="44">
        <f t="shared" si="1"/>
        <v>1110</v>
      </c>
      <c r="J11" s="65">
        <f t="shared" si="2"/>
        <v>48.137837837837836</v>
      </c>
      <c r="K11" s="76">
        <f t="shared" si="3"/>
        <v>50.727653513513516</v>
      </c>
      <c r="L11" s="51" t="str">
        <f t="shared" si="6"/>
        <v/>
      </c>
      <c r="M11" s="44">
        <v>53380</v>
      </c>
      <c r="N11" s="44">
        <v>1100</v>
      </c>
      <c r="O11" s="65">
        <v>48.53</v>
      </c>
      <c r="P11" s="51">
        <f t="shared" si="4"/>
        <v>51.140914000000002</v>
      </c>
      <c r="Q11" s="44">
        <v>53</v>
      </c>
      <c r="R11" s="44">
        <v>10</v>
      </c>
      <c r="S11" s="65">
        <v>5.3</v>
      </c>
      <c r="T11" s="51">
        <f t="shared" si="5"/>
        <v>5.58514</v>
      </c>
      <c r="U11" s="46" t="s">
        <v>48</v>
      </c>
      <c r="V11" s="46">
        <v>84123</v>
      </c>
      <c r="W11" s="69" t="s">
        <v>218</v>
      </c>
      <c r="X11" s="70" t="s">
        <v>209</v>
      </c>
      <c r="Z11" s="47"/>
      <c r="AA11" s="267"/>
      <c r="AB11" s="48"/>
      <c r="AC11" s="48"/>
    </row>
    <row r="12" spans="1:29" s="46" customFormat="1" x14ac:dyDescent="0.25">
      <c r="A12" s="39" t="s">
        <v>245</v>
      </c>
      <c r="B12" s="40" t="s">
        <v>81</v>
      </c>
      <c r="C12" s="41" t="s">
        <v>82</v>
      </c>
      <c r="D12" s="42">
        <v>44927</v>
      </c>
      <c r="E12" s="42">
        <v>45291</v>
      </c>
      <c r="F12" s="42">
        <f t="shared" si="7"/>
        <v>45107</v>
      </c>
      <c r="G12" s="112">
        <f>_xlfn.XLOOKUP(F12,'A-6 CMS Market Basket Index '!$AZ$3:$AZ$8,'A-6 CMS Market Basket Index '!$BF$3:$BF$8)</f>
        <v>1.0538000000000001</v>
      </c>
      <c r="H12" s="43">
        <f t="shared" si="0"/>
        <v>989832</v>
      </c>
      <c r="I12" s="44">
        <f t="shared" si="1"/>
        <v>15124</v>
      </c>
      <c r="J12" s="65">
        <f t="shared" si="2"/>
        <v>65.447765141496959</v>
      </c>
      <c r="K12" s="76">
        <f t="shared" si="3"/>
        <v>68.968854906109499</v>
      </c>
      <c r="L12" s="51" t="str">
        <f t="shared" si="6"/>
        <v/>
      </c>
      <c r="M12" s="44">
        <v>989832</v>
      </c>
      <c r="N12" s="44">
        <v>15124</v>
      </c>
      <c r="O12" s="65">
        <v>65.45</v>
      </c>
      <c r="P12" s="51">
        <f t="shared" si="4"/>
        <v>68.971210000000013</v>
      </c>
      <c r="Q12" s="44"/>
      <c r="R12" s="44"/>
      <c r="S12" s="65"/>
      <c r="T12" s="51" t="str">
        <f t="shared" si="5"/>
        <v/>
      </c>
      <c r="U12" s="46" t="s">
        <v>83</v>
      </c>
      <c r="V12" s="46">
        <v>84041</v>
      </c>
      <c r="W12" s="69" t="s">
        <v>212</v>
      </c>
      <c r="X12" s="70" t="s">
        <v>213</v>
      </c>
      <c r="Z12" s="47"/>
      <c r="AA12" s="267"/>
      <c r="AB12" s="48"/>
      <c r="AC12" s="48"/>
    </row>
    <row r="13" spans="1:29" s="46" customFormat="1" x14ac:dyDescent="0.25">
      <c r="A13" s="39" t="s">
        <v>245</v>
      </c>
      <c r="B13" s="40" t="s">
        <v>71</v>
      </c>
      <c r="C13" s="41" t="s">
        <v>72</v>
      </c>
      <c r="D13" s="42">
        <v>44927</v>
      </c>
      <c r="E13" s="42">
        <v>45291</v>
      </c>
      <c r="F13" s="42">
        <f t="shared" si="7"/>
        <v>45107</v>
      </c>
      <c r="G13" s="112">
        <f>_xlfn.XLOOKUP(F13,'A-6 CMS Market Basket Index '!$AZ$3:$AZ$8,'A-6 CMS Market Basket Index '!$BF$3:$BF$8)</f>
        <v>1.0538000000000001</v>
      </c>
      <c r="H13" s="43">
        <f t="shared" si="0"/>
        <v>91791</v>
      </c>
      <c r="I13" s="44">
        <f t="shared" si="1"/>
        <v>1250</v>
      </c>
      <c r="J13" s="65">
        <f t="shared" si="2"/>
        <v>73.4328</v>
      </c>
      <c r="K13" s="76">
        <f t="shared" si="3"/>
        <v>77.383484640000006</v>
      </c>
      <c r="L13" s="51" t="str">
        <f t="shared" si="6"/>
        <v/>
      </c>
      <c r="M13" s="44">
        <v>91791</v>
      </c>
      <c r="N13" s="44">
        <v>1250</v>
      </c>
      <c r="O13" s="65">
        <v>73.430000000000007</v>
      </c>
      <c r="P13" s="51">
        <f t="shared" si="4"/>
        <v>77.380534000000011</v>
      </c>
      <c r="Q13" s="44"/>
      <c r="R13" s="44"/>
      <c r="S13" s="65"/>
      <c r="T13" s="51" t="str">
        <f t="shared" si="5"/>
        <v/>
      </c>
      <c r="U13" s="46" t="s">
        <v>17</v>
      </c>
      <c r="V13" s="46">
        <v>84057</v>
      </c>
      <c r="W13" s="69" t="s">
        <v>15</v>
      </c>
      <c r="X13" s="70" t="s">
        <v>213</v>
      </c>
      <c r="Z13" s="47"/>
      <c r="AA13" s="267"/>
      <c r="AB13" s="48"/>
      <c r="AC13" s="48"/>
    </row>
    <row r="14" spans="1:29" s="46" customFormat="1" x14ac:dyDescent="0.25">
      <c r="A14" s="39" t="s">
        <v>245</v>
      </c>
      <c r="B14" s="40" t="s">
        <v>179</v>
      </c>
      <c r="C14" s="41" t="s">
        <v>178</v>
      </c>
      <c r="D14" s="42">
        <v>44927</v>
      </c>
      <c r="E14" s="42">
        <v>45291</v>
      </c>
      <c r="F14" s="42">
        <f t="shared" si="7"/>
        <v>45107</v>
      </c>
      <c r="G14" s="112">
        <f>_xlfn.XLOOKUP(F14,'A-6 CMS Market Basket Index '!$AZ$3:$AZ$8,'A-6 CMS Market Basket Index '!$BF$3:$BF$8)</f>
        <v>1.0538000000000001</v>
      </c>
      <c r="H14" s="43">
        <f t="shared" si="0"/>
        <v>22078</v>
      </c>
      <c r="I14" s="44">
        <f t="shared" si="1"/>
        <v>299</v>
      </c>
      <c r="J14" s="65">
        <f t="shared" si="2"/>
        <v>73.839464882943147</v>
      </c>
      <c r="K14" s="76">
        <f t="shared" si="3"/>
        <v>77.812028093645495</v>
      </c>
      <c r="L14" s="51" t="str">
        <f t="shared" ref="L14" si="8">IF((K15-K14)&gt;6.99,"OL","")</f>
        <v/>
      </c>
      <c r="M14" s="44">
        <v>18444</v>
      </c>
      <c r="N14" s="44">
        <v>223</v>
      </c>
      <c r="O14" s="65">
        <v>82.71</v>
      </c>
      <c r="P14" s="51">
        <f t="shared" si="4"/>
        <v>87.159797999999995</v>
      </c>
      <c r="Q14" s="44">
        <v>3634</v>
      </c>
      <c r="R14" s="44">
        <v>76</v>
      </c>
      <c r="S14" s="65">
        <v>47.82</v>
      </c>
      <c r="T14" s="51">
        <f t="shared" si="5"/>
        <v>50.392716000000007</v>
      </c>
      <c r="U14" s="46" t="s">
        <v>18</v>
      </c>
      <c r="V14" s="46">
        <v>84107</v>
      </c>
      <c r="W14" s="69" t="s">
        <v>218</v>
      </c>
      <c r="X14" s="70" t="s">
        <v>209</v>
      </c>
      <c r="Z14" s="47"/>
      <c r="AA14" s="267"/>
      <c r="AB14" s="48"/>
      <c r="AC14" s="48"/>
    </row>
    <row r="15" spans="1:29" s="46" customFormat="1" x14ac:dyDescent="0.25">
      <c r="A15" s="39" t="s">
        <v>245</v>
      </c>
      <c r="B15" s="40" t="s">
        <v>132</v>
      </c>
      <c r="C15" s="41" t="s">
        <v>91</v>
      </c>
      <c r="D15" s="42">
        <v>44927</v>
      </c>
      <c r="E15" s="42">
        <v>45291</v>
      </c>
      <c r="F15" s="42">
        <f t="shared" si="7"/>
        <v>45107</v>
      </c>
      <c r="G15" s="112">
        <f>_xlfn.XLOOKUP(F15,'A-6 CMS Market Basket Index '!$AZ$3:$AZ$8,'A-6 CMS Market Basket Index '!$BF$3:$BF$8)</f>
        <v>1.0538000000000001</v>
      </c>
      <c r="H15" s="43">
        <f t="shared" si="0"/>
        <v>829041</v>
      </c>
      <c r="I15" s="44">
        <f t="shared" si="1"/>
        <v>11038</v>
      </c>
      <c r="J15" s="65">
        <f t="shared" si="2"/>
        <v>75.107899981880777</v>
      </c>
      <c r="K15" s="76">
        <f t="shared" si="3"/>
        <v>79.148705000905963</v>
      </c>
      <c r="L15" s="51"/>
      <c r="M15" s="44">
        <v>500656</v>
      </c>
      <c r="N15" s="44">
        <v>5561</v>
      </c>
      <c r="O15" s="65">
        <v>90.03</v>
      </c>
      <c r="P15" s="51">
        <f t="shared" si="4"/>
        <v>94.873614000000003</v>
      </c>
      <c r="Q15" s="44">
        <v>328385</v>
      </c>
      <c r="R15" s="44">
        <v>5477</v>
      </c>
      <c r="S15" s="65">
        <v>59.96</v>
      </c>
      <c r="T15" s="51">
        <f t="shared" si="5"/>
        <v>63.185848000000007</v>
      </c>
      <c r="U15" s="46" t="s">
        <v>48</v>
      </c>
      <c r="V15" s="46">
        <v>84107</v>
      </c>
      <c r="W15" s="69" t="s">
        <v>218</v>
      </c>
      <c r="X15" s="70" t="s">
        <v>209</v>
      </c>
      <c r="Z15" s="47"/>
      <c r="AA15" s="267"/>
      <c r="AB15" s="48"/>
      <c r="AC15" s="48"/>
    </row>
    <row r="16" spans="1:29" s="46" customFormat="1" x14ac:dyDescent="0.25">
      <c r="A16" s="39" t="s">
        <v>245</v>
      </c>
      <c r="B16" s="40" t="s">
        <v>140</v>
      </c>
      <c r="C16" s="41" t="s">
        <v>141</v>
      </c>
      <c r="D16" s="42">
        <v>44927</v>
      </c>
      <c r="E16" s="42">
        <v>45291</v>
      </c>
      <c r="F16" s="42">
        <f t="shared" si="7"/>
        <v>45107</v>
      </c>
      <c r="G16" s="112">
        <f>_xlfn.XLOOKUP(F16,'A-6 CMS Market Basket Index '!$AZ$3:$AZ$8,'A-6 CMS Market Basket Index '!$BF$3:$BF$8)</f>
        <v>1.0538000000000001</v>
      </c>
      <c r="H16" s="43">
        <f t="shared" si="0"/>
        <v>41994</v>
      </c>
      <c r="I16" s="44">
        <f t="shared" si="1"/>
        <v>501</v>
      </c>
      <c r="J16" s="65">
        <f t="shared" si="2"/>
        <v>83.820359281437121</v>
      </c>
      <c r="K16" s="76">
        <f t="shared" si="3"/>
        <v>88.329894610778439</v>
      </c>
      <c r="L16" s="51"/>
      <c r="M16" s="44">
        <v>39343</v>
      </c>
      <c r="N16" s="44">
        <v>449</v>
      </c>
      <c r="O16" s="65">
        <v>87.62</v>
      </c>
      <c r="P16" s="51">
        <f t="shared" si="4"/>
        <v>92.333956000000015</v>
      </c>
      <c r="Q16" s="44">
        <v>2651</v>
      </c>
      <c r="R16" s="44">
        <v>52</v>
      </c>
      <c r="S16" s="65">
        <v>50.98</v>
      </c>
      <c r="T16" s="51">
        <f t="shared" si="5"/>
        <v>53.722723999999999</v>
      </c>
      <c r="U16" s="46" t="s">
        <v>142</v>
      </c>
      <c r="V16" s="46">
        <v>84663</v>
      </c>
      <c r="W16" s="69" t="s">
        <v>15</v>
      </c>
      <c r="X16" s="70" t="s">
        <v>213</v>
      </c>
      <c r="Z16" s="47"/>
      <c r="AA16" s="267"/>
      <c r="AB16" s="48"/>
      <c r="AC16" s="48"/>
    </row>
    <row r="17" spans="1:29" s="46" customFormat="1" x14ac:dyDescent="0.25">
      <c r="A17" s="39" t="s">
        <v>245</v>
      </c>
      <c r="B17" s="40" t="s">
        <v>98</v>
      </c>
      <c r="C17" s="41" t="s">
        <v>99</v>
      </c>
      <c r="D17" s="42">
        <v>45017</v>
      </c>
      <c r="E17" s="42">
        <v>45322</v>
      </c>
      <c r="F17" s="42">
        <f>((D17+E17)/2)</f>
        <v>45169.5</v>
      </c>
      <c r="G17" s="112">
        <f>_xlfn.XLOOKUP(F17,'A-6 CMS Market Basket Index '!$AZ$3:$AZ$8,'A-6 CMS Market Basket Index '!$BF$3:$BF$8)</f>
        <v>1.0426</v>
      </c>
      <c r="H17" s="43">
        <f t="shared" si="0"/>
        <v>20459</v>
      </c>
      <c r="I17" s="44">
        <f t="shared" si="1"/>
        <v>228</v>
      </c>
      <c r="J17" s="65">
        <f t="shared" si="2"/>
        <v>89.732456140350877</v>
      </c>
      <c r="K17" s="76">
        <f t="shared" si="3"/>
        <v>93.555058771929822</v>
      </c>
      <c r="L17" s="51"/>
      <c r="M17" s="44">
        <v>12479</v>
      </c>
      <c r="N17" s="44">
        <v>87</v>
      </c>
      <c r="O17" s="65">
        <v>143.44</v>
      </c>
      <c r="P17" s="51">
        <f t="shared" si="4"/>
        <v>149.550544</v>
      </c>
      <c r="Q17" s="44">
        <v>7980</v>
      </c>
      <c r="R17" s="44">
        <v>141</v>
      </c>
      <c r="S17" s="65">
        <v>56.6</v>
      </c>
      <c r="T17" s="51">
        <f t="shared" si="5"/>
        <v>59.011159999999997</v>
      </c>
      <c r="U17" s="46" t="s">
        <v>52</v>
      </c>
      <c r="V17" s="46">
        <v>84790</v>
      </c>
      <c r="W17" s="69" t="s">
        <v>223</v>
      </c>
      <c r="X17" s="70" t="s">
        <v>209</v>
      </c>
      <c r="Z17" s="47"/>
      <c r="AA17" s="267"/>
      <c r="AB17" s="48"/>
      <c r="AC17" s="48"/>
    </row>
    <row r="18" spans="1:29" s="46" customFormat="1" x14ac:dyDescent="0.25">
      <c r="A18" s="39" t="s">
        <v>245</v>
      </c>
      <c r="B18" s="40" t="s">
        <v>88</v>
      </c>
      <c r="C18" s="41" t="s">
        <v>89</v>
      </c>
      <c r="D18" s="42">
        <v>44927</v>
      </c>
      <c r="E18" s="42">
        <v>45291</v>
      </c>
      <c r="F18" s="42">
        <f>((D18+E18)/2)-2</f>
        <v>45107</v>
      </c>
      <c r="G18" s="112">
        <f>_xlfn.XLOOKUP(F18,'A-6 CMS Market Basket Index '!$AZ$3:$AZ$8,'A-6 CMS Market Basket Index '!$BF$3:$BF$8)</f>
        <v>1.0538000000000001</v>
      </c>
      <c r="H18" s="43">
        <f t="shared" si="0"/>
        <v>27969</v>
      </c>
      <c r="I18" s="44">
        <f t="shared" si="1"/>
        <v>308</v>
      </c>
      <c r="J18" s="65">
        <f t="shared" si="2"/>
        <v>90.808441558441558</v>
      </c>
      <c r="K18" s="76">
        <f t="shared" si="3"/>
        <v>95.693935714285715</v>
      </c>
      <c r="L18" s="51"/>
      <c r="M18" s="44">
        <v>22288</v>
      </c>
      <c r="N18" s="44">
        <v>269</v>
      </c>
      <c r="O18" s="65">
        <v>82.86</v>
      </c>
      <c r="P18" s="51">
        <f t="shared" si="4"/>
        <v>87.317868000000004</v>
      </c>
      <c r="Q18" s="44">
        <v>5681</v>
      </c>
      <c r="R18" s="44">
        <v>39</v>
      </c>
      <c r="S18" s="65">
        <v>145.66999999999999</v>
      </c>
      <c r="T18" s="51">
        <f t="shared" si="5"/>
        <v>153.507046</v>
      </c>
      <c r="U18" s="46" t="s">
        <v>48</v>
      </c>
      <c r="V18" s="46">
        <v>84121</v>
      </c>
      <c r="W18" s="69" t="s">
        <v>218</v>
      </c>
      <c r="X18" s="70" t="s">
        <v>209</v>
      </c>
      <c r="Z18" s="47"/>
      <c r="AA18" s="267"/>
      <c r="AB18" s="48"/>
      <c r="AC18" s="48"/>
    </row>
    <row r="19" spans="1:29" s="46" customFormat="1" x14ac:dyDescent="0.25">
      <c r="A19" s="39" t="s">
        <v>245</v>
      </c>
      <c r="B19" s="40" t="s">
        <v>107</v>
      </c>
      <c r="C19" s="41" t="s">
        <v>108</v>
      </c>
      <c r="D19" s="42">
        <v>44927</v>
      </c>
      <c r="E19" s="42">
        <v>45291</v>
      </c>
      <c r="F19" s="42">
        <f>((D19+E19)/2)-2</f>
        <v>45107</v>
      </c>
      <c r="G19" s="112">
        <f>_xlfn.XLOOKUP(F19,'A-6 CMS Market Basket Index '!$AZ$3:$AZ$8,'A-6 CMS Market Basket Index '!$BF$3:$BF$8)</f>
        <v>1.0538000000000001</v>
      </c>
      <c r="H19" s="43">
        <f t="shared" si="0"/>
        <v>108286</v>
      </c>
      <c r="I19" s="44">
        <f t="shared" si="1"/>
        <v>1175</v>
      </c>
      <c r="J19" s="65">
        <f t="shared" si="2"/>
        <v>92.158297872340427</v>
      </c>
      <c r="K19" s="76">
        <f t="shared" si="3"/>
        <v>97.116414297872353</v>
      </c>
      <c r="L19" s="51"/>
      <c r="M19" s="44">
        <v>95201</v>
      </c>
      <c r="N19" s="44">
        <v>1005</v>
      </c>
      <c r="O19" s="65">
        <v>94.73</v>
      </c>
      <c r="P19" s="51">
        <f t="shared" si="4"/>
        <v>99.826474000000005</v>
      </c>
      <c r="Q19" s="44">
        <v>13085</v>
      </c>
      <c r="R19" s="44">
        <v>170</v>
      </c>
      <c r="S19" s="65">
        <v>76.97</v>
      </c>
      <c r="T19" s="51">
        <f t="shared" si="5"/>
        <v>81.110986000000011</v>
      </c>
      <c r="U19" s="46" t="s">
        <v>62</v>
      </c>
      <c r="V19" s="46">
        <v>84790</v>
      </c>
      <c r="W19" s="69" t="s">
        <v>223</v>
      </c>
      <c r="X19" s="70" t="s">
        <v>209</v>
      </c>
      <c r="Z19" s="47"/>
      <c r="AA19" s="267"/>
      <c r="AB19" s="48"/>
      <c r="AC19" s="48"/>
    </row>
    <row r="20" spans="1:29" s="46" customFormat="1" x14ac:dyDescent="0.25">
      <c r="A20" s="39" t="s">
        <v>245</v>
      </c>
      <c r="B20" s="40" t="s">
        <v>174</v>
      </c>
      <c r="C20" s="41" t="s">
        <v>164</v>
      </c>
      <c r="D20" s="42">
        <v>44911</v>
      </c>
      <c r="E20" s="42">
        <v>45291</v>
      </c>
      <c r="F20" s="42">
        <f>((D20+E20)/2)+6</f>
        <v>45107</v>
      </c>
      <c r="G20" s="112">
        <f>_xlfn.XLOOKUP(F20,'A-6 CMS Market Basket Index '!$AZ$3:$AZ$8,'A-6 CMS Market Basket Index '!$BF$3:$BF$8)</f>
        <v>1.0538000000000001</v>
      </c>
      <c r="H20" s="43">
        <f t="shared" si="0"/>
        <v>24130</v>
      </c>
      <c r="I20" s="44">
        <f t="shared" si="1"/>
        <v>254</v>
      </c>
      <c r="J20" s="65">
        <f t="shared" si="2"/>
        <v>95</v>
      </c>
      <c r="K20" s="76">
        <f t="shared" si="3"/>
        <v>100.111</v>
      </c>
      <c r="L20" s="51"/>
      <c r="M20" s="44">
        <v>24130</v>
      </c>
      <c r="N20" s="44">
        <v>254</v>
      </c>
      <c r="O20" s="65">
        <v>95</v>
      </c>
      <c r="P20" s="51">
        <f t="shared" si="4"/>
        <v>100.111</v>
      </c>
      <c r="Q20" s="44"/>
      <c r="R20" s="44"/>
      <c r="S20" s="65"/>
      <c r="T20" s="51" t="str">
        <f t="shared" si="5"/>
        <v/>
      </c>
      <c r="U20" s="46" t="s">
        <v>112</v>
      </c>
      <c r="V20" s="46">
        <v>84043</v>
      </c>
      <c r="W20" s="69" t="s">
        <v>15</v>
      </c>
      <c r="X20" s="70" t="s">
        <v>213</v>
      </c>
      <c r="Z20" s="47"/>
      <c r="AA20" s="267"/>
      <c r="AB20" s="48"/>
      <c r="AC20" s="48"/>
    </row>
    <row r="21" spans="1:29" s="46" customFormat="1" x14ac:dyDescent="0.25">
      <c r="A21" s="39" t="s">
        <v>245</v>
      </c>
      <c r="B21" s="40" t="s">
        <v>162</v>
      </c>
      <c r="C21" s="41" t="s">
        <v>163</v>
      </c>
      <c r="D21" s="42">
        <v>44927</v>
      </c>
      <c r="E21" s="42">
        <v>45291</v>
      </c>
      <c r="F21" s="42">
        <f t="shared" ref="F21:F39" si="9">((D21+E21)/2)-2</f>
        <v>45107</v>
      </c>
      <c r="G21" s="112">
        <f>_xlfn.XLOOKUP(F21,'A-6 CMS Market Basket Index '!$AZ$3:$AZ$8,'A-6 CMS Market Basket Index '!$BF$3:$BF$8)</f>
        <v>1.0538000000000001</v>
      </c>
      <c r="H21" s="43">
        <f t="shared" si="0"/>
        <v>484</v>
      </c>
      <c r="I21" s="44">
        <f t="shared" si="1"/>
        <v>5</v>
      </c>
      <c r="J21" s="65">
        <f t="shared" si="2"/>
        <v>96.8</v>
      </c>
      <c r="K21" s="76">
        <f t="shared" si="3"/>
        <v>102.00784</v>
      </c>
      <c r="L21" s="51"/>
      <c r="M21" s="44">
        <v>484</v>
      </c>
      <c r="N21" s="44">
        <v>5</v>
      </c>
      <c r="O21" s="65">
        <v>96.8</v>
      </c>
      <c r="P21" s="51">
        <f t="shared" si="4"/>
        <v>102.00784</v>
      </c>
      <c r="Q21" s="44"/>
      <c r="R21" s="44"/>
      <c r="S21" s="65"/>
      <c r="T21" s="51" t="str">
        <f t="shared" si="5"/>
        <v/>
      </c>
      <c r="U21" s="46" t="s">
        <v>51</v>
      </c>
      <c r="V21" s="46">
        <v>84720</v>
      </c>
      <c r="W21" s="69" t="s">
        <v>216</v>
      </c>
      <c r="X21" s="70" t="s">
        <v>209</v>
      </c>
      <c r="Z21" s="47"/>
      <c r="AA21" s="267"/>
      <c r="AB21" s="48"/>
      <c r="AC21" s="48"/>
    </row>
    <row r="22" spans="1:29" s="46" customFormat="1" x14ac:dyDescent="0.25">
      <c r="A22" s="39" t="s">
        <v>245</v>
      </c>
      <c r="B22" s="40" t="s">
        <v>133</v>
      </c>
      <c r="C22" s="41" t="s">
        <v>92</v>
      </c>
      <c r="D22" s="42">
        <v>44927</v>
      </c>
      <c r="E22" s="42">
        <v>45291</v>
      </c>
      <c r="F22" s="42">
        <f t="shared" si="9"/>
        <v>45107</v>
      </c>
      <c r="G22" s="112">
        <f>_xlfn.XLOOKUP(F22,'A-6 CMS Market Basket Index '!$AZ$3:$AZ$8,'A-6 CMS Market Basket Index '!$BF$3:$BF$8)</f>
        <v>1.0538000000000001</v>
      </c>
      <c r="H22" s="43">
        <f t="shared" si="0"/>
        <v>119014</v>
      </c>
      <c r="I22" s="44">
        <f t="shared" si="1"/>
        <v>1177</v>
      </c>
      <c r="J22" s="65">
        <f t="shared" si="2"/>
        <v>101.11639762107052</v>
      </c>
      <c r="K22" s="76">
        <f t="shared" si="3"/>
        <v>106.55645981308412</v>
      </c>
      <c r="L22" s="51"/>
      <c r="M22" s="44">
        <v>119014</v>
      </c>
      <c r="N22" s="44">
        <v>1177</v>
      </c>
      <c r="O22" s="65">
        <v>101.12</v>
      </c>
      <c r="P22" s="51">
        <f t="shared" si="4"/>
        <v>106.56025600000001</v>
      </c>
      <c r="Q22" s="44"/>
      <c r="R22" s="44"/>
      <c r="S22" s="65"/>
      <c r="T22" s="51" t="str">
        <f t="shared" si="5"/>
        <v/>
      </c>
      <c r="U22" s="46" t="s">
        <v>52</v>
      </c>
      <c r="V22" s="46">
        <v>84790</v>
      </c>
      <c r="W22" s="69" t="s">
        <v>223</v>
      </c>
      <c r="X22" s="70" t="s">
        <v>209</v>
      </c>
      <c r="Z22" s="47"/>
      <c r="AA22" s="267"/>
      <c r="AB22" s="48"/>
      <c r="AC22" s="48"/>
    </row>
    <row r="23" spans="1:29" s="46" customFormat="1" x14ac:dyDescent="0.25">
      <c r="A23" s="39" t="s">
        <v>245</v>
      </c>
      <c r="B23" s="40" t="s">
        <v>127</v>
      </c>
      <c r="C23" s="41" t="s">
        <v>128</v>
      </c>
      <c r="D23" s="42">
        <v>44927</v>
      </c>
      <c r="E23" s="42">
        <v>45291</v>
      </c>
      <c r="F23" s="42">
        <f t="shared" si="9"/>
        <v>45107</v>
      </c>
      <c r="G23" s="112">
        <f>_xlfn.XLOOKUP(F23,'A-6 CMS Market Basket Index '!$AZ$3:$AZ$8,'A-6 CMS Market Basket Index '!$BF$3:$BF$8)</f>
        <v>1.0538000000000001</v>
      </c>
      <c r="H23" s="43">
        <f t="shared" si="0"/>
        <v>30435</v>
      </c>
      <c r="I23" s="44">
        <f t="shared" si="1"/>
        <v>298</v>
      </c>
      <c r="J23" s="65">
        <f t="shared" si="2"/>
        <v>102.13087248322148</v>
      </c>
      <c r="K23" s="76">
        <f t="shared" si="3"/>
        <v>107.6255134228188</v>
      </c>
      <c r="L23" s="51"/>
      <c r="M23" s="44">
        <v>30435</v>
      </c>
      <c r="N23" s="44">
        <v>298</v>
      </c>
      <c r="O23" s="65">
        <v>102.13</v>
      </c>
      <c r="P23" s="51">
        <f t="shared" si="4"/>
        <v>107.624594</v>
      </c>
      <c r="Q23" s="44"/>
      <c r="R23" s="44"/>
      <c r="S23" s="65"/>
      <c r="T23" s="51" t="str">
        <f t="shared" si="5"/>
        <v/>
      </c>
      <c r="U23" s="46" t="s">
        <v>129</v>
      </c>
      <c r="V23" s="46">
        <v>84063</v>
      </c>
      <c r="W23" s="69" t="s">
        <v>222</v>
      </c>
      <c r="X23" s="70" t="s">
        <v>209</v>
      </c>
      <c r="Z23" s="47"/>
      <c r="AA23" s="267"/>
      <c r="AB23" s="48"/>
      <c r="AC23" s="48"/>
    </row>
    <row r="24" spans="1:29" s="46" customFormat="1" x14ac:dyDescent="0.25">
      <c r="A24" s="39" t="s">
        <v>245</v>
      </c>
      <c r="B24" s="40" t="s">
        <v>77</v>
      </c>
      <c r="C24" s="41" t="s">
        <v>75</v>
      </c>
      <c r="D24" s="42">
        <v>44927</v>
      </c>
      <c r="E24" s="42">
        <v>45291</v>
      </c>
      <c r="F24" s="42">
        <f t="shared" si="9"/>
        <v>45107</v>
      </c>
      <c r="G24" s="112">
        <f>_xlfn.XLOOKUP(F24,'A-6 CMS Market Basket Index '!$AZ$3:$AZ$8,'A-6 CMS Market Basket Index '!$BF$3:$BF$8)</f>
        <v>1.0538000000000001</v>
      </c>
      <c r="H24" s="43">
        <f t="shared" si="0"/>
        <v>87458</v>
      </c>
      <c r="I24" s="44">
        <f t="shared" si="1"/>
        <v>845</v>
      </c>
      <c r="J24" s="65">
        <f t="shared" si="2"/>
        <v>103.50059171597633</v>
      </c>
      <c r="K24" s="76">
        <f t="shared" si="3"/>
        <v>109.06892355029586</v>
      </c>
      <c r="L24" s="51"/>
      <c r="M24" s="44">
        <v>87458</v>
      </c>
      <c r="N24" s="44">
        <v>845</v>
      </c>
      <c r="O24" s="65">
        <v>103.5</v>
      </c>
      <c r="P24" s="51">
        <f t="shared" si="4"/>
        <v>109.06830000000001</v>
      </c>
      <c r="Q24" s="44"/>
      <c r="R24" s="44"/>
      <c r="S24" s="65"/>
      <c r="T24" s="51" t="str">
        <f t="shared" si="5"/>
        <v/>
      </c>
      <c r="U24" s="46" t="s">
        <v>76</v>
      </c>
      <c r="V24" s="46">
        <v>84123</v>
      </c>
      <c r="W24" s="69" t="s">
        <v>218</v>
      </c>
      <c r="X24" s="70" t="s">
        <v>209</v>
      </c>
      <c r="Z24" s="47"/>
      <c r="AA24" s="267"/>
      <c r="AB24" s="48"/>
      <c r="AC24" s="48"/>
    </row>
    <row r="25" spans="1:29" s="46" customFormat="1" x14ac:dyDescent="0.25">
      <c r="A25" s="39" t="s">
        <v>245</v>
      </c>
      <c r="B25" s="40" t="s">
        <v>167</v>
      </c>
      <c r="C25" s="41" t="s">
        <v>168</v>
      </c>
      <c r="D25" s="42">
        <v>44927</v>
      </c>
      <c r="E25" s="42">
        <v>45291</v>
      </c>
      <c r="F25" s="42">
        <f t="shared" si="9"/>
        <v>45107</v>
      </c>
      <c r="G25" s="112">
        <f>_xlfn.XLOOKUP(F25,'A-6 CMS Market Basket Index '!$AZ$3:$AZ$8,'A-6 CMS Market Basket Index '!$BF$3:$BF$8)</f>
        <v>1.0538000000000001</v>
      </c>
      <c r="H25" s="43">
        <f t="shared" si="0"/>
        <v>2420</v>
      </c>
      <c r="I25" s="44">
        <f t="shared" si="1"/>
        <v>23</v>
      </c>
      <c r="J25" s="65">
        <f t="shared" si="2"/>
        <v>105.21739130434783</v>
      </c>
      <c r="K25" s="76">
        <f t="shared" si="3"/>
        <v>110.87808695652174</v>
      </c>
      <c r="L25" s="51"/>
      <c r="M25" s="44">
        <v>2420</v>
      </c>
      <c r="N25" s="44">
        <v>23</v>
      </c>
      <c r="O25" s="65">
        <v>105.22</v>
      </c>
      <c r="P25" s="51">
        <f t="shared" si="4"/>
        <v>110.880836</v>
      </c>
      <c r="Q25" s="44"/>
      <c r="R25" s="44"/>
      <c r="S25" s="65"/>
      <c r="T25" s="51" t="str">
        <f t="shared" si="5"/>
        <v/>
      </c>
      <c r="U25" s="46" t="s">
        <v>46</v>
      </c>
      <c r="V25" s="46">
        <v>84660</v>
      </c>
      <c r="W25" s="69" t="s">
        <v>15</v>
      </c>
      <c r="X25" s="70" t="s">
        <v>213</v>
      </c>
      <c r="Z25" s="47"/>
      <c r="AA25" s="267"/>
      <c r="AB25" s="48"/>
      <c r="AC25" s="48"/>
    </row>
    <row r="26" spans="1:29" s="46" customFormat="1" x14ac:dyDescent="0.25">
      <c r="A26" s="39" t="s">
        <v>245</v>
      </c>
      <c r="B26" s="40" t="s">
        <v>147</v>
      </c>
      <c r="C26" s="41" t="s">
        <v>148</v>
      </c>
      <c r="D26" s="42">
        <v>44927</v>
      </c>
      <c r="E26" s="42">
        <v>45291</v>
      </c>
      <c r="F26" s="42">
        <f t="shared" si="9"/>
        <v>45107</v>
      </c>
      <c r="G26" s="112">
        <f>_xlfn.XLOOKUP(F26,'A-6 CMS Market Basket Index '!$AZ$3:$AZ$8,'A-6 CMS Market Basket Index '!$BF$3:$BF$8)</f>
        <v>1.0538000000000001</v>
      </c>
      <c r="H26" s="43">
        <f t="shared" si="0"/>
        <v>5903</v>
      </c>
      <c r="I26" s="44">
        <f t="shared" si="1"/>
        <v>54</v>
      </c>
      <c r="J26" s="65">
        <f t="shared" si="2"/>
        <v>109.31481481481481</v>
      </c>
      <c r="K26" s="76">
        <f t="shared" si="3"/>
        <v>115.19595185185186</v>
      </c>
      <c r="L26" s="51"/>
      <c r="M26" s="44">
        <v>5903</v>
      </c>
      <c r="N26" s="44">
        <v>54</v>
      </c>
      <c r="O26" s="65">
        <v>109.31</v>
      </c>
      <c r="P26" s="51">
        <f t="shared" si="4"/>
        <v>115.19087800000001</v>
      </c>
      <c r="Q26" s="44"/>
      <c r="R26" s="44"/>
      <c r="S26" s="65"/>
      <c r="T26" s="51" t="str">
        <f t="shared" si="5"/>
        <v/>
      </c>
      <c r="U26" s="46" t="s">
        <v>149</v>
      </c>
      <c r="V26" s="46">
        <v>84414</v>
      </c>
      <c r="W26" s="69" t="s">
        <v>224</v>
      </c>
      <c r="X26" s="70" t="s">
        <v>213</v>
      </c>
      <c r="Z26" s="47"/>
      <c r="AA26" s="267"/>
      <c r="AB26" s="48"/>
      <c r="AC26" s="48"/>
    </row>
    <row r="27" spans="1:29" s="46" customFormat="1" x14ac:dyDescent="0.25">
      <c r="A27" s="39" t="s">
        <v>245</v>
      </c>
      <c r="B27" s="40" t="s">
        <v>136</v>
      </c>
      <c r="C27" s="41" t="s">
        <v>137</v>
      </c>
      <c r="D27" s="42">
        <v>44927</v>
      </c>
      <c r="E27" s="42">
        <v>45291</v>
      </c>
      <c r="F27" s="42">
        <f t="shared" si="9"/>
        <v>45107</v>
      </c>
      <c r="G27" s="112">
        <f>_xlfn.XLOOKUP(F27,'A-6 CMS Market Basket Index '!$AZ$3:$AZ$8,'A-6 CMS Market Basket Index '!$BF$3:$BF$8)</f>
        <v>1.0538000000000001</v>
      </c>
      <c r="H27" s="43">
        <f t="shared" si="0"/>
        <v>47696</v>
      </c>
      <c r="I27" s="44">
        <f t="shared" si="1"/>
        <v>435</v>
      </c>
      <c r="J27" s="65">
        <f t="shared" si="2"/>
        <v>109.64597701149425</v>
      </c>
      <c r="K27" s="76">
        <f t="shared" si="3"/>
        <v>115.54493057471265</v>
      </c>
      <c r="L27" s="51"/>
      <c r="M27" s="44">
        <v>47562</v>
      </c>
      <c r="N27" s="44">
        <v>433</v>
      </c>
      <c r="O27" s="65">
        <v>109.84</v>
      </c>
      <c r="P27" s="51">
        <f t="shared" si="4"/>
        <v>115.74939200000001</v>
      </c>
      <c r="Q27" s="44">
        <v>134</v>
      </c>
      <c r="R27" s="44">
        <v>2</v>
      </c>
      <c r="S27" s="65">
        <v>67</v>
      </c>
      <c r="T27" s="51">
        <f t="shared" si="5"/>
        <v>70.604600000000005</v>
      </c>
      <c r="U27" s="46" t="s">
        <v>48</v>
      </c>
      <c r="V27" s="46">
        <v>84106</v>
      </c>
      <c r="W27" s="69" t="s">
        <v>218</v>
      </c>
      <c r="X27" s="70" t="s">
        <v>209</v>
      </c>
      <c r="Z27" s="47"/>
      <c r="AA27" s="267"/>
      <c r="AB27" s="48"/>
      <c r="AC27" s="48"/>
    </row>
    <row r="28" spans="1:29" s="46" customFormat="1" x14ac:dyDescent="0.25">
      <c r="A28" s="39" t="s">
        <v>245</v>
      </c>
      <c r="B28" s="40" t="s">
        <v>145</v>
      </c>
      <c r="C28" s="41" t="s">
        <v>146</v>
      </c>
      <c r="D28" s="42">
        <v>44927</v>
      </c>
      <c r="E28" s="42">
        <v>45291</v>
      </c>
      <c r="F28" s="42">
        <f t="shared" si="9"/>
        <v>45107</v>
      </c>
      <c r="G28" s="112">
        <f>_xlfn.XLOOKUP(F28,'A-6 CMS Market Basket Index '!$AZ$3:$AZ$8,'A-6 CMS Market Basket Index '!$BF$3:$BF$8)</f>
        <v>1.0538000000000001</v>
      </c>
      <c r="H28" s="43">
        <f t="shared" si="0"/>
        <v>146502</v>
      </c>
      <c r="I28" s="44">
        <f t="shared" si="1"/>
        <v>1328</v>
      </c>
      <c r="J28" s="65">
        <f t="shared" si="2"/>
        <v>110.31777108433735</v>
      </c>
      <c r="K28" s="76">
        <f t="shared" si="3"/>
        <v>116.25286716867471</v>
      </c>
      <c r="L28" s="51"/>
      <c r="M28" s="44">
        <v>146502</v>
      </c>
      <c r="N28" s="44">
        <v>1328</v>
      </c>
      <c r="O28" s="65">
        <v>110.32</v>
      </c>
      <c r="P28" s="51">
        <f t="shared" si="4"/>
        <v>116.255216</v>
      </c>
      <c r="Q28" s="44"/>
      <c r="R28" s="44"/>
      <c r="S28" s="65"/>
      <c r="T28" s="51" t="str">
        <f t="shared" si="5"/>
        <v/>
      </c>
      <c r="U28" s="46" t="s">
        <v>41</v>
      </c>
      <c r="V28" s="46">
        <v>84647</v>
      </c>
      <c r="W28" s="69" t="s">
        <v>220</v>
      </c>
      <c r="X28" s="70" t="s">
        <v>209</v>
      </c>
      <c r="Z28" s="47"/>
      <c r="AA28" s="267"/>
      <c r="AB28" s="48"/>
      <c r="AC28" s="48"/>
    </row>
    <row r="29" spans="1:29" s="46" customFormat="1" x14ac:dyDescent="0.25">
      <c r="A29" s="39" t="s">
        <v>245</v>
      </c>
      <c r="B29" s="40" t="s">
        <v>131</v>
      </c>
      <c r="C29" s="41" t="s">
        <v>130</v>
      </c>
      <c r="D29" s="42">
        <v>44927</v>
      </c>
      <c r="E29" s="42">
        <v>45291</v>
      </c>
      <c r="F29" s="42">
        <f t="shared" si="9"/>
        <v>45107</v>
      </c>
      <c r="G29" s="112">
        <f>_xlfn.XLOOKUP(F29,'A-6 CMS Market Basket Index '!$AZ$3:$AZ$8,'A-6 CMS Market Basket Index '!$BF$3:$BF$8)</f>
        <v>1.0538000000000001</v>
      </c>
      <c r="H29" s="43">
        <f t="shared" si="0"/>
        <v>94706</v>
      </c>
      <c r="I29" s="44">
        <f t="shared" si="1"/>
        <v>851</v>
      </c>
      <c r="J29" s="65">
        <f t="shared" si="2"/>
        <v>111.28789659224442</v>
      </c>
      <c r="K29" s="76">
        <f t="shared" si="3"/>
        <v>117.27518542890718</v>
      </c>
      <c r="L29" s="51"/>
      <c r="M29" s="44">
        <v>88036</v>
      </c>
      <c r="N29" s="44">
        <v>767</v>
      </c>
      <c r="O29" s="65">
        <v>114.78</v>
      </c>
      <c r="P29" s="51">
        <f t="shared" si="4"/>
        <v>120.95516400000001</v>
      </c>
      <c r="Q29" s="44">
        <v>6670</v>
      </c>
      <c r="R29" s="44">
        <v>84</v>
      </c>
      <c r="S29" s="65">
        <v>79.400000000000006</v>
      </c>
      <c r="T29" s="51">
        <f t="shared" si="5"/>
        <v>83.671720000000008</v>
      </c>
      <c r="U29" s="46" t="s">
        <v>48</v>
      </c>
      <c r="V29" s="46">
        <v>84107</v>
      </c>
      <c r="W29" s="69" t="s">
        <v>218</v>
      </c>
      <c r="X29" s="70" t="s">
        <v>209</v>
      </c>
      <c r="Z29" s="47"/>
      <c r="AA29" s="267"/>
      <c r="AB29" s="48"/>
      <c r="AC29" s="48"/>
    </row>
    <row r="30" spans="1:29" s="46" customFormat="1" x14ac:dyDescent="0.25">
      <c r="A30" s="39" t="s">
        <v>245</v>
      </c>
      <c r="B30" s="40" t="s">
        <v>151</v>
      </c>
      <c r="C30" s="41" t="s">
        <v>150</v>
      </c>
      <c r="D30" s="42">
        <v>44927</v>
      </c>
      <c r="E30" s="42">
        <v>45291</v>
      </c>
      <c r="F30" s="42">
        <f t="shared" si="9"/>
        <v>45107</v>
      </c>
      <c r="G30" s="112">
        <f>_xlfn.XLOOKUP(F30,'A-6 CMS Market Basket Index '!$AZ$3:$AZ$8,'A-6 CMS Market Basket Index '!$BF$3:$BF$8)</f>
        <v>1.0538000000000001</v>
      </c>
      <c r="H30" s="43">
        <f t="shared" si="0"/>
        <v>306302</v>
      </c>
      <c r="I30" s="44">
        <f t="shared" si="1"/>
        <v>2739</v>
      </c>
      <c r="J30" s="65">
        <f t="shared" si="2"/>
        <v>111.82986491420226</v>
      </c>
      <c r="K30" s="76">
        <f t="shared" si="3"/>
        <v>117.84631164658634</v>
      </c>
      <c r="L30" s="51"/>
      <c r="M30" s="44">
        <v>256480</v>
      </c>
      <c r="N30" s="44">
        <v>2190</v>
      </c>
      <c r="O30" s="65">
        <v>117.11</v>
      </c>
      <c r="P30" s="51">
        <f t="shared" si="4"/>
        <v>123.41051800000001</v>
      </c>
      <c r="Q30" s="44">
        <v>49822</v>
      </c>
      <c r="R30" s="44">
        <v>549</v>
      </c>
      <c r="S30" s="65">
        <v>90.75</v>
      </c>
      <c r="T30" s="51">
        <f t="shared" si="5"/>
        <v>95.632350000000002</v>
      </c>
      <c r="U30" s="46" t="s">
        <v>97</v>
      </c>
      <c r="V30" s="46">
        <v>84015</v>
      </c>
      <c r="W30" s="69" t="s">
        <v>212</v>
      </c>
      <c r="X30" s="70" t="s">
        <v>213</v>
      </c>
      <c r="Z30" s="47"/>
      <c r="AA30" s="267"/>
      <c r="AB30" s="48"/>
      <c r="AC30" s="48"/>
    </row>
    <row r="31" spans="1:29" s="46" customFormat="1" x14ac:dyDescent="0.25">
      <c r="A31" s="39" t="s">
        <v>245</v>
      </c>
      <c r="B31" s="40" t="s">
        <v>165</v>
      </c>
      <c r="C31" s="41" t="s">
        <v>166</v>
      </c>
      <c r="D31" s="42">
        <v>44927</v>
      </c>
      <c r="E31" s="42">
        <v>45291</v>
      </c>
      <c r="F31" s="42">
        <f t="shared" si="9"/>
        <v>45107</v>
      </c>
      <c r="G31" s="112">
        <f>_xlfn.XLOOKUP(F31,'A-6 CMS Market Basket Index '!$AZ$3:$AZ$8,'A-6 CMS Market Basket Index '!$BF$3:$BF$8)</f>
        <v>1.0538000000000001</v>
      </c>
      <c r="H31" s="43">
        <f t="shared" si="0"/>
        <v>1701</v>
      </c>
      <c r="I31" s="44">
        <f t="shared" si="1"/>
        <v>15</v>
      </c>
      <c r="J31" s="65">
        <f t="shared" si="2"/>
        <v>113.4</v>
      </c>
      <c r="K31" s="76">
        <f t="shared" si="3"/>
        <v>119.50092000000001</v>
      </c>
      <c r="L31" s="51"/>
      <c r="M31" s="44">
        <v>1001</v>
      </c>
      <c r="N31" s="44">
        <v>8</v>
      </c>
      <c r="O31" s="65">
        <v>125.13</v>
      </c>
      <c r="P31" s="51">
        <f t="shared" si="4"/>
        <v>131.86199400000001</v>
      </c>
      <c r="Q31" s="44">
        <v>700</v>
      </c>
      <c r="R31" s="44">
        <v>7</v>
      </c>
      <c r="S31" s="65">
        <v>100</v>
      </c>
      <c r="T31" s="51">
        <f t="shared" si="5"/>
        <v>105.38000000000001</v>
      </c>
      <c r="U31" s="46" t="s">
        <v>42</v>
      </c>
      <c r="V31" s="46">
        <v>84093</v>
      </c>
      <c r="W31" s="69" t="s">
        <v>218</v>
      </c>
      <c r="X31" s="70" t="s">
        <v>209</v>
      </c>
      <c r="Z31" s="47"/>
      <c r="AA31" s="267"/>
      <c r="AB31" s="48"/>
      <c r="AC31" s="48"/>
    </row>
    <row r="32" spans="1:29" s="46" customFormat="1" x14ac:dyDescent="0.25">
      <c r="A32" s="39" t="s">
        <v>245</v>
      </c>
      <c r="B32" s="40" t="s">
        <v>134</v>
      </c>
      <c r="C32" s="41" t="s">
        <v>135</v>
      </c>
      <c r="D32" s="42">
        <v>44927</v>
      </c>
      <c r="E32" s="42">
        <v>45291</v>
      </c>
      <c r="F32" s="42">
        <f t="shared" si="9"/>
        <v>45107</v>
      </c>
      <c r="G32" s="112">
        <f>_xlfn.XLOOKUP(F32,'A-6 CMS Market Basket Index '!$AZ$3:$AZ$8,'A-6 CMS Market Basket Index '!$BF$3:$BF$8)</f>
        <v>1.0538000000000001</v>
      </c>
      <c r="H32" s="43">
        <f t="shared" si="0"/>
        <v>14200</v>
      </c>
      <c r="I32" s="44">
        <f t="shared" si="1"/>
        <v>124</v>
      </c>
      <c r="J32" s="65">
        <f t="shared" si="2"/>
        <v>114.51612903225806</v>
      </c>
      <c r="K32" s="76">
        <f t="shared" si="3"/>
        <v>120.67709677419356</v>
      </c>
      <c r="L32" s="51"/>
      <c r="M32" s="44">
        <v>13935</v>
      </c>
      <c r="N32" s="44">
        <v>120</v>
      </c>
      <c r="O32" s="65">
        <v>116.13</v>
      </c>
      <c r="P32" s="51">
        <f t="shared" si="4"/>
        <v>122.37779400000001</v>
      </c>
      <c r="Q32" s="44">
        <v>265</v>
      </c>
      <c r="R32" s="44">
        <v>4</v>
      </c>
      <c r="S32" s="65">
        <v>66.25</v>
      </c>
      <c r="T32" s="51">
        <f t="shared" si="5"/>
        <v>69.814250000000001</v>
      </c>
      <c r="U32" s="46" t="s">
        <v>17</v>
      </c>
      <c r="V32" s="46">
        <v>84057</v>
      </c>
      <c r="W32" s="69" t="s">
        <v>15</v>
      </c>
      <c r="X32" s="70" t="s">
        <v>213</v>
      </c>
      <c r="Z32" s="47"/>
      <c r="AA32" s="267"/>
      <c r="AB32" s="48"/>
      <c r="AC32" s="48"/>
    </row>
    <row r="33" spans="1:29" s="46" customFormat="1" x14ac:dyDescent="0.25">
      <c r="A33" s="39" t="s">
        <v>245</v>
      </c>
      <c r="B33" s="40" t="s">
        <v>60</v>
      </c>
      <c r="C33" s="41" t="s">
        <v>61</v>
      </c>
      <c r="D33" s="42">
        <v>44927</v>
      </c>
      <c r="E33" s="42">
        <v>45291</v>
      </c>
      <c r="F33" s="42">
        <f t="shared" si="9"/>
        <v>45107</v>
      </c>
      <c r="G33" s="112">
        <f>_xlfn.XLOOKUP(F33,'A-6 CMS Market Basket Index '!$AZ$3:$AZ$8,'A-6 CMS Market Basket Index '!$BF$3:$BF$8)</f>
        <v>1.0538000000000001</v>
      </c>
      <c r="H33" s="43">
        <f t="shared" si="0"/>
        <v>147067</v>
      </c>
      <c r="I33" s="44">
        <f t="shared" si="1"/>
        <v>1272</v>
      </c>
      <c r="J33" s="65">
        <f t="shared" si="2"/>
        <v>115.61871069182389</v>
      </c>
      <c r="K33" s="76">
        <f t="shared" si="3"/>
        <v>121.83899732704403</v>
      </c>
      <c r="L33" s="51"/>
      <c r="M33" s="44">
        <v>141166</v>
      </c>
      <c r="N33" s="44">
        <v>1178</v>
      </c>
      <c r="O33" s="65">
        <v>119.84</v>
      </c>
      <c r="P33" s="51">
        <f t="shared" si="4"/>
        <v>126.28739200000001</v>
      </c>
      <c r="Q33" s="44">
        <v>5901</v>
      </c>
      <c r="R33" s="44">
        <v>94</v>
      </c>
      <c r="S33" s="65">
        <v>62.78</v>
      </c>
      <c r="T33" s="51">
        <f t="shared" si="5"/>
        <v>66.157564000000008</v>
      </c>
      <c r="U33" s="46" t="s">
        <v>62</v>
      </c>
      <c r="V33" s="46">
        <v>84790</v>
      </c>
      <c r="W33" s="69" t="s">
        <v>223</v>
      </c>
      <c r="X33" s="70" t="s">
        <v>209</v>
      </c>
      <c r="Z33" s="47"/>
      <c r="AA33" s="267"/>
      <c r="AB33" s="48"/>
      <c r="AC33" s="48"/>
    </row>
    <row r="34" spans="1:29" s="46" customFormat="1" x14ac:dyDescent="0.25">
      <c r="A34" s="39" t="s">
        <v>245</v>
      </c>
      <c r="B34" s="40" t="s">
        <v>109</v>
      </c>
      <c r="C34" s="41" t="s">
        <v>110</v>
      </c>
      <c r="D34" s="42">
        <v>44927</v>
      </c>
      <c r="E34" s="42">
        <v>45291</v>
      </c>
      <c r="F34" s="42">
        <f t="shared" si="9"/>
        <v>45107</v>
      </c>
      <c r="G34" s="112">
        <f>_xlfn.XLOOKUP(F34,'A-6 CMS Market Basket Index '!$AZ$3:$AZ$8,'A-6 CMS Market Basket Index '!$BF$3:$BF$8)</f>
        <v>1.0538000000000001</v>
      </c>
      <c r="H34" s="43">
        <f t="shared" si="0"/>
        <v>60825</v>
      </c>
      <c r="I34" s="44">
        <f t="shared" si="1"/>
        <v>508</v>
      </c>
      <c r="J34" s="65">
        <f t="shared" si="2"/>
        <v>119.73425196850394</v>
      </c>
      <c r="K34" s="76">
        <f t="shared" si="3"/>
        <v>126.17595472440946</v>
      </c>
      <c r="L34" s="51"/>
      <c r="M34" s="44">
        <v>56536</v>
      </c>
      <c r="N34" s="44">
        <v>453</v>
      </c>
      <c r="O34" s="65">
        <v>124.8</v>
      </c>
      <c r="P34" s="51">
        <f t="shared" si="4"/>
        <v>131.51424</v>
      </c>
      <c r="Q34" s="44">
        <v>4289</v>
      </c>
      <c r="R34" s="44">
        <v>55</v>
      </c>
      <c r="S34" s="65">
        <v>77.98</v>
      </c>
      <c r="T34" s="51">
        <f t="shared" si="5"/>
        <v>82.175324000000003</v>
      </c>
      <c r="U34" s="46" t="s">
        <v>44</v>
      </c>
      <c r="V34" s="46">
        <v>84501</v>
      </c>
      <c r="W34" s="69" t="s">
        <v>211</v>
      </c>
      <c r="X34" s="70" t="s">
        <v>209</v>
      </c>
      <c r="Z34" s="47"/>
      <c r="AA34" s="267"/>
      <c r="AB34" s="48"/>
      <c r="AC34" s="48"/>
    </row>
    <row r="35" spans="1:29" s="46" customFormat="1" x14ac:dyDescent="0.25">
      <c r="A35" s="39" t="s">
        <v>245</v>
      </c>
      <c r="B35" s="40" t="s">
        <v>187</v>
      </c>
      <c r="C35" s="41" t="s">
        <v>188</v>
      </c>
      <c r="D35" s="42">
        <v>44927</v>
      </c>
      <c r="E35" s="42">
        <v>45291</v>
      </c>
      <c r="F35" s="42">
        <f t="shared" si="9"/>
        <v>45107</v>
      </c>
      <c r="G35" s="112">
        <f>_xlfn.XLOOKUP(F35,'A-6 CMS Market Basket Index '!$AZ$3:$AZ$8,'A-6 CMS Market Basket Index '!$BF$3:$BF$8)</f>
        <v>1.0538000000000001</v>
      </c>
      <c r="H35" s="43">
        <f t="shared" si="0"/>
        <v>8635</v>
      </c>
      <c r="I35" s="44">
        <f t="shared" si="1"/>
        <v>72</v>
      </c>
      <c r="J35" s="65">
        <f t="shared" si="2"/>
        <v>119.93055555555556</v>
      </c>
      <c r="K35" s="76">
        <f t="shared" si="3"/>
        <v>126.38281944444445</v>
      </c>
      <c r="L35" s="51"/>
      <c r="M35" s="44">
        <v>8635</v>
      </c>
      <c r="N35" s="44">
        <v>72</v>
      </c>
      <c r="O35" s="65">
        <v>119.93</v>
      </c>
      <c r="P35" s="51">
        <f t="shared" si="4"/>
        <v>126.38223400000001</v>
      </c>
      <c r="Q35" s="44"/>
      <c r="R35" s="44"/>
      <c r="S35" s="65"/>
      <c r="T35" s="51" t="str">
        <f t="shared" si="5"/>
        <v/>
      </c>
      <c r="U35" s="46" t="s">
        <v>18</v>
      </c>
      <c r="V35" s="46">
        <v>84105</v>
      </c>
      <c r="W35" s="69" t="s">
        <v>218</v>
      </c>
      <c r="X35" s="70" t="s">
        <v>209</v>
      </c>
      <c r="Z35" s="47"/>
      <c r="AA35" s="267"/>
      <c r="AB35" s="48"/>
      <c r="AC35" s="48"/>
    </row>
    <row r="36" spans="1:29" s="46" customFormat="1" x14ac:dyDescent="0.25">
      <c r="A36" s="39" t="s">
        <v>245</v>
      </c>
      <c r="B36" s="40" t="s">
        <v>65</v>
      </c>
      <c r="C36" s="41" t="s">
        <v>66</v>
      </c>
      <c r="D36" s="42">
        <v>44927</v>
      </c>
      <c r="E36" s="42">
        <v>45291</v>
      </c>
      <c r="F36" s="42">
        <f t="shared" si="9"/>
        <v>45107</v>
      </c>
      <c r="G36" s="112">
        <f>_xlfn.XLOOKUP(F36,'A-6 CMS Market Basket Index '!$AZ$3:$AZ$8,'A-6 CMS Market Basket Index '!$BF$3:$BF$8)</f>
        <v>1.0538000000000001</v>
      </c>
      <c r="H36" s="43">
        <f t="shared" si="0"/>
        <v>19417</v>
      </c>
      <c r="I36" s="44">
        <f t="shared" si="1"/>
        <v>150</v>
      </c>
      <c r="J36" s="65">
        <f t="shared" si="2"/>
        <v>129.44666666666666</v>
      </c>
      <c r="K36" s="76">
        <f t="shared" si="3"/>
        <v>136.41089733333334</v>
      </c>
      <c r="L36" s="51"/>
      <c r="M36" s="44">
        <v>19417</v>
      </c>
      <c r="N36" s="44">
        <v>150</v>
      </c>
      <c r="O36" s="65">
        <v>129.44999999999999</v>
      </c>
      <c r="P36" s="51">
        <f t="shared" si="4"/>
        <v>136.41441</v>
      </c>
      <c r="Q36" s="44"/>
      <c r="R36" s="44"/>
      <c r="S36" s="65"/>
      <c r="T36" s="51" t="str">
        <f t="shared" si="5"/>
        <v/>
      </c>
      <c r="U36" s="46" t="s">
        <v>39</v>
      </c>
      <c r="V36" s="46">
        <v>84041</v>
      </c>
      <c r="W36" s="69" t="s">
        <v>212</v>
      </c>
      <c r="X36" s="70" t="s">
        <v>213</v>
      </c>
      <c r="Z36" s="47"/>
      <c r="AA36" s="267"/>
      <c r="AB36" s="48"/>
      <c r="AC36" s="48"/>
    </row>
    <row r="37" spans="1:29" s="46" customFormat="1" x14ac:dyDescent="0.25">
      <c r="A37" s="39" t="s">
        <v>245</v>
      </c>
      <c r="B37" s="40" t="s">
        <v>196</v>
      </c>
      <c r="C37" s="41" t="s">
        <v>197</v>
      </c>
      <c r="D37" s="42">
        <v>44927</v>
      </c>
      <c r="E37" s="42">
        <v>45291</v>
      </c>
      <c r="F37" s="42">
        <f t="shared" si="9"/>
        <v>45107</v>
      </c>
      <c r="G37" s="112">
        <f>_xlfn.XLOOKUP(F37,'A-6 CMS Market Basket Index '!$AZ$3:$AZ$8,'A-6 CMS Market Basket Index '!$BF$3:$BF$8)</f>
        <v>1.0538000000000001</v>
      </c>
      <c r="H37" s="43">
        <f t="shared" si="0"/>
        <v>19399</v>
      </c>
      <c r="I37" s="44">
        <f t="shared" si="1"/>
        <v>148</v>
      </c>
      <c r="J37" s="65">
        <f t="shared" si="2"/>
        <v>131.07432432432432</v>
      </c>
      <c r="K37" s="76">
        <f t="shared" si="3"/>
        <v>138.12612297297298</v>
      </c>
      <c r="L37" s="51"/>
      <c r="M37" s="44">
        <v>19399</v>
      </c>
      <c r="N37" s="44">
        <v>148</v>
      </c>
      <c r="O37" s="65">
        <v>131.07</v>
      </c>
      <c r="P37" s="51">
        <f t="shared" si="4"/>
        <v>138.121566</v>
      </c>
      <c r="Q37" s="44"/>
      <c r="R37" s="44"/>
      <c r="S37" s="65"/>
      <c r="T37" s="51" t="str">
        <f t="shared" si="5"/>
        <v/>
      </c>
      <c r="U37" s="46" t="s">
        <v>48</v>
      </c>
      <c r="V37" s="46">
        <v>84107</v>
      </c>
      <c r="W37" s="69" t="s">
        <v>218</v>
      </c>
      <c r="X37" s="70" t="s">
        <v>209</v>
      </c>
      <c r="Z37" s="47"/>
      <c r="AA37" s="267"/>
      <c r="AB37" s="48"/>
      <c r="AC37" s="48"/>
    </row>
    <row r="38" spans="1:29" s="46" customFormat="1" x14ac:dyDescent="0.25">
      <c r="A38" s="39" t="s">
        <v>245</v>
      </c>
      <c r="B38" s="40" t="s">
        <v>182</v>
      </c>
      <c r="C38" s="41" t="s">
        <v>183</v>
      </c>
      <c r="D38" s="42">
        <v>44927</v>
      </c>
      <c r="E38" s="42">
        <v>45291</v>
      </c>
      <c r="F38" s="42">
        <f t="shared" si="9"/>
        <v>45107</v>
      </c>
      <c r="G38" s="112">
        <f>_xlfn.XLOOKUP(F38,'A-6 CMS Market Basket Index '!$AZ$3:$AZ$8,'A-6 CMS Market Basket Index '!$BF$3:$BF$8)</f>
        <v>1.0538000000000001</v>
      </c>
      <c r="H38" s="43">
        <f t="shared" ref="H38:H69" si="10">IFERROR(M38+Q38,0)</f>
        <v>151505</v>
      </c>
      <c r="I38" s="44">
        <f t="shared" ref="I38:I69" si="11">IFERROR(N38+R38,0)</f>
        <v>1150</v>
      </c>
      <c r="J38" s="65">
        <f t="shared" ref="J38:J69" si="12">IFERROR(H38/I38,0)</f>
        <v>131.74347826086955</v>
      </c>
      <c r="K38" s="76">
        <f t="shared" ref="K38:K69" si="13">IF(J38="","",J38*$G38)</f>
        <v>138.83127739130435</v>
      </c>
      <c r="L38" s="51"/>
      <c r="M38" s="44">
        <v>151505</v>
      </c>
      <c r="N38" s="44">
        <v>1150</v>
      </c>
      <c r="O38" s="65">
        <v>131.74</v>
      </c>
      <c r="P38" s="51">
        <f t="shared" ref="P38:P69" si="14">IF(O38="","",O38*$G38)</f>
        <v>138.82761200000002</v>
      </c>
      <c r="Q38" s="44"/>
      <c r="R38" s="44"/>
      <c r="S38" s="65"/>
      <c r="T38" s="51" t="str">
        <f t="shared" ref="T38:T69" si="15">IF(S38="","",S38*$G38)</f>
        <v/>
      </c>
      <c r="U38" s="46" t="s">
        <v>48</v>
      </c>
      <c r="V38" s="46">
        <v>84107</v>
      </c>
      <c r="W38" s="69" t="s">
        <v>218</v>
      </c>
      <c r="X38" s="70" t="s">
        <v>209</v>
      </c>
      <c r="Z38" s="47"/>
      <c r="AA38" s="267"/>
      <c r="AB38" s="48"/>
      <c r="AC38" s="48"/>
    </row>
    <row r="39" spans="1:29" s="46" customFormat="1" x14ac:dyDescent="0.25">
      <c r="A39" s="39" t="s">
        <v>245</v>
      </c>
      <c r="B39" s="40" t="s">
        <v>95</v>
      </c>
      <c r="C39" s="41" t="s">
        <v>96</v>
      </c>
      <c r="D39" s="42">
        <v>44927</v>
      </c>
      <c r="E39" s="42">
        <v>45291</v>
      </c>
      <c r="F39" s="42">
        <f t="shared" si="9"/>
        <v>45107</v>
      </c>
      <c r="G39" s="112">
        <f>_xlfn.XLOOKUP(F39,'A-6 CMS Market Basket Index '!$AZ$3:$AZ$8,'A-6 CMS Market Basket Index '!$BF$3:$BF$8)</f>
        <v>1.0538000000000001</v>
      </c>
      <c r="H39" s="43">
        <f t="shared" si="10"/>
        <v>60980</v>
      </c>
      <c r="I39" s="44">
        <f t="shared" si="11"/>
        <v>455</v>
      </c>
      <c r="J39" s="65">
        <f t="shared" si="12"/>
        <v>134.02197802197801</v>
      </c>
      <c r="K39" s="76">
        <f t="shared" si="13"/>
        <v>141.23236043956044</v>
      </c>
      <c r="L39" s="51"/>
      <c r="M39" s="44">
        <v>60980</v>
      </c>
      <c r="N39" s="44">
        <v>455</v>
      </c>
      <c r="O39" s="65">
        <v>134.02000000000001</v>
      </c>
      <c r="P39" s="51">
        <f t="shared" si="14"/>
        <v>141.23027600000003</v>
      </c>
      <c r="Q39" s="44"/>
      <c r="R39" s="44"/>
      <c r="S39" s="65"/>
      <c r="T39" s="51" t="str">
        <f t="shared" si="15"/>
        <v/>
      </c>
      <c r="U39" s="46" t="s">
        <v>97</v>
      </c>
      <c r="V39" s="46">
        <v>84015</v>
      </c>
      <c r="W39" s="69" t="s">
        <v>212</v>
      </c>
      <c r="X39" s="70" t="s">
        <v>213</v>
      </c>
      <c r="Z39" s="47"/>
      <c r="AA39" s="267"/>
      <c r="AB39" s="48"/>
      <c r="AC39" s="48"/>
    </row>
    <row r="40" spans="1:29" s="46" customFormat="1" x14ac:dyDescent="0.25">
      <c r="A40" s="50" t="s">
        <v>246</v>
      </c>
      <c r="B40" s="86" t="s">
        <v>35</v>
      </c>
      <c r="C40" s="87">
        <v>467035</v>
      </c>
      <c r="D40" s="88">
        <v>45108</v>
      </c>
      <c r="E40" s="88">
        <v>45473</v>
      </c>
      <c r="F40" s="42">
        <f>((D40+E40)/2)+1</f>
        <v>45291.5</v>
      </c>
      <c r="G40" s="112">
        <f>_xlfn.XLOOKUP(F40,'A-6 CMS Market Basket Index '!$AZ$3:$AZ$8,'A-6 CMS Market Basket Index '!$BF$3:$BF$8)</f>
        <v>1.0366</v>
      </c>
      <c r="H40" s="43">
        <f t="shared" si="10"/>
        <v>33019</v>
      </c>
      <c r="I40" s="44">
        <f t="shared" si="11"/>
        <v>234</v>
      </c>
      <c r="J40" s="65">
        <f t="shared" si="12"/>
        <v>141.10683760683762</v>
      </c>
      <c r="K40" s="76">
        <f t="shared" si="13"/>
        <v>146.27134786324785</v>
      </c>
      <c r="L40" s="51"/>
      <c r="M40" s="49">
        <v>33019</v>
      </c>
      <c r="N40" s="49">
        <v>234</v>
      </c>
      <c r="O40" s="80">
        <v>141.11000000000001</v>
      </c>
      <c r="P40" s="51">
        <f t="shared" si="14"/>
        <v>146.27462600000001</v>
      </c>
      <c r="Q40" s="49"/>
      <c r="R40" s="49"/>
      <c r="S40" s="80"/>
      <c r="T40" s="51" t="str">
        <f t="shared" si="15"/>
        <v/>
      </c>
      <c r="U40" s="90" t="s">
        <v>34</v>
      </c>
      <c r="V40" s="90">
        <v>84634</v>
      </c>
      <c r="W40" s="91" t="s">
        <v>220</v>
      </c>
      <c r="X40" s="92" t="s">
        <v>209</v>
      </c>
      <c r="Y40" s="52" t="s">
        <v>32</v>
      </c>
      <c r="Z40" s="53" t="s">
        <v>33</v>
      </c>
      <c r="AA40" s="267"/>
      <c r="AB40" s="48"/>
      <c r="AC40" s="48"/>
    </row>
    <row r="41" spans="1:29" s="46" customFormat="1" x14ac:dyDescent="0.25">
      <c r="A41" s="39" t="s">
        <v>245</v>
      </c>
      <c r="B41" s="40" t="s">
        <v>63</v>
      </c>
      <c r="C41" s="41" t="s">
        <v>64</v>
      </c>
      <c r="D41" s="42">
        <v>44927</v>
      </c>
      <c r="E41" s="42">
        <v>45291</v>
      </c>
      <c r="F41" s="42">
        <f t="shared" ref="F41:F77" si="16">((D41+E41)/2)-2</f>
        <v>45107</v>
      </c>
      <c r="G41" s="112">
        <f>_xlfn.XLOOKUP(F41,'A-6 CMS Market Basket Index '!$AZ$3:$AZ$8,'A-6 CMS Market Basket Index '!$BF$3:$BF$8)</f>
        <v>1.0538000000000001</v>
      </c>
      <c r="H41" s="43">
        <f t="shared" si="10"/>
        <v>505788</v>
      </c>
      <c r="I41" s="44">
        <f t="shared" si="11"/>
        <v>3547</v>
      </c>
      <c r="J41" s="65">
        <f t="shared" si="12"/>
        <v>142.59599661685931</v>
      </c>
      <c r="K41" s="76">
        <f t="shared" si="13"/>
        <v>150.26766123484634</v>
      </c>
      <c r="L41" s="51"/>
      <c r="M41" s="44">
        <v>476158</v>
      </c>
      <c r="N41" s="44">
        <v>3220</v>
      </c>
      <c r="O41" s="65">
        <v>147.88</v>
      </c>
      <c r="P41" s="51">
        <f t="shared" si="14"/>
        <v>155.83594400000001</v>
      </c>
      <c r="Q41" s="44">
        <v>29630</v>
      </c>
      <c r="R41" s="44">
        <v>327</v>
      </c>
      <c r="S41" s="65">
        <v>90.61</v>
      </c>
      <c r="T41" s="51">
        <f t="shared" si="15"/>
        <v>95.484818000000004</v>
      </c>
      <c r="U41" s="46" t="s">
        <v>48</v>
      </c>
      <c r="V41" s="46">
        <v>84107</v>
      </c>
      <c r="W41" s="69" t="s">
        <v>218</v>
      </c>
      <c r="X41" s="70" t="s">
        <v>209</v>
      </c>
      <c r="Z41" s="47"/>
      <c r="AA41" s="267"/>
      <c r="AB41" s="48"/>
      <c r="AC41" s="48"/>
    </row>
    <row r="42" spans="1:29" s="46" customFormat="1" x14ac:dyDescent="0.25">
      <c r="A42" s="39" t="s">
        <v>245</v>
      </c>
      <c r="B42" s="40" t="s">
        <v>74</v>
      </c>
      <c r="C42" s="41" t="s">
        <v>73</v>
      </c>
      <c r="D42" s="42">
        <v>44927</v>
      </c>
      <c r="E42" s="42">
        <v>45291</v>
      </c>
      <c r="F42" s="42">
        <f t="shared" si="16"/>
        <v>45107</v>
      </c>
      <c r="G42" s="112">
        <f>_xlfn.XLOOKUP(F42,'A-6 CMS Market Basket Index '!$AZ$3:$AZ$8,'A-6 CMS Market Basket Index '!$BF$3:$BF$8)</f>
        <v>1.0538000000000001</v>
      </c>
      <c r="H42" s="43">
        <f t="shared" si="10"/>
        <v>692996</v>
      </c>
      <c r="I42" s="44">
        <f t="shared" si="11"/>
        <v>4854</v>
      </c>
      <c r="J42" s="65">
        <f t="shared" si="12"/>
        <v>142.76802637000412</v>
      </c>
      <c r="K42" s="76">
        <f t="shared" si="13"/>
        <v>150.44894618871035</v>
      </c>
      <c r="L42" s="51"/>
      <c r="M42" s="44">
        <v>692996</v>
      </c>
      <c r="N42" s="44">
        <v>4854</v>
      </c>
      <c r="O42" s="65">
        <v>142.77000000000001</v>
      </c>
      <c r="P42" s="51">
        <f t="shared" si="14"/>
        <v>150.45102600000001</v>
      </c>
      <c r="Q42" s="44"/>
      <c r="R42" s="44"/>
      <c r="S42" s="65"/>
      <c r="T42" s="51" t="str">
        <f t="shared" si="15"/>
        <v/>
      </c>
      <c r="U42" s="46" t="s">
        <v>40</v>
      </c>
      <c r="V42" s="46">
        <v>84405</v>
      </c>
      <c r="W42" s="69" t="s">
        <v>224</v>
      </c>
      <c r="X42" s="70" t="s">
        <v>213</v>
      </c>
      <c r="Z42" s="47"/>
      <c r="AA42" s="267"/>
      <c r="AB42" s="48"/>
      <c r="AC42" s="48"/>
    </row>
    <row r="43" spans="1:29" s="46" customFormat="1" x14ac:dyDescent="0.25">
      <c r="A43" s="39" t="s">
        <v>245</v>
      </c>
      <c r="B43" s="40" t="s">
        <v>200</v>
      </c>
      <c r="C43" s="41" t="s">
        <v>198</v>
      </c>
      <c r="D43" s="42">
        <v>44927</v>
      </c>
      <c r="E43" s="42">
        <v>45291</v>
      </c>
      <c r="F43" s="42">
        <f t="shared" si="16"/>
        <v>45107</v>
      </c>
      <c r="G43" s="112">
        <f>_xlfn.XLOOKUP(F43,'A-6 CMS Market Basket Index '!$AZ$3:$AZ$8,'A-6 CMS Market Basket Index '!$BF$3:$BF$8)</f>
        <v>1.0538000000000001</v>
      </c>
      <c r="H43" s="43">
        <f t="shared" si="10"/>
        <v>54396</v>
      </c>
      <c r="I43" s="44">
        <f t="shared" si="11"/>
        <v>370</v>
      </c>
      <c r="J43" s="65">
        <f t="shared" si="12"/>
        <v>147.01621621621621</v>
      </c>
      <c r="K43" s="76">
        <f t="shared" si="13"/>
        <v>154.92568864864865</v>
      </c>
      <c r="L43" s="51"/>
      <c r="M43" s="44">
        <v>54396</v>
      </c>
      <c r="N43" s="44">
        <v>370</v>
      </c>
      <c r="O43" s="65">
        <v>147.02000000000001</v>
      </c>
      <c r="P43" s="51">
        <f t="shared" si="14"/>
        <v>154.92967600000003</v>
      </c>
      <c r="Q43" s="44"/>
      <c r="R43" s="44"/>
      <c r="S43" s="65"/>
      <c r="T43" s="51" t="str">
        <f t="shared" si="15"/>
        <v/>
      </c>
      <c r="U43" s="46" t="s">
        <v>199</v>
      </c>
      <c r="V43" s="46">
        <v>84780</v>
      </c>
      <c r="W43" s="69" t="s">
        <v>223</v>
      </c>
      <c r="X43" s="70" t="s">
        <v>209</v>
      </c>
      <c r="Z43" s="47"/>
      <c r="AA43" s="267"/>
      <c r="AB43" s="48"/>
      <c r="AC43" s="48"/>
    </row>
    <row r="44" spans="1:29" s="46" customFormat="1" x14ac:dyDescent="0.25">
      <c r="A44" s="39" t="s">
        <v>245</v>
      </c>
      <c r="B44" s="40" t="s">
        <v>111</v>
      </c>
      <c r="C44" s="41" t="s">
        <v>90</v>
      </c>
      <c r="D44" s="42">
        <v>44927</v>
      </c>
      <c r="E44" s="42">
        <v>45291</v>
      </c>
      <c r="F44" s="42">
        <f t="shared" si="16"/>
        <v>45107</v>
      </c>
      <c r="G44" s="112">
        <f>_xlfn.XLOOKUP(F44,'A-6 CMS Market Basket Index '!$AZ$3:$AZ$8,'A-6 CMS Market Basket Index '!$BF$3:$BF$8)</f>
        <v>1.0538000000000001</v>
      </c>
      <c r="H44" s="43">
        <f t="shared" si="10"/>
        <v>1919</v>
      </c>
      <c r="I44" s="44">
        <f t="shared" si="11"/>
        <v>13</v>
      </c>
      <c r="J44" s="65">
        <f t="shared" si="12"/>
        <v>147.61538461538461</v>
      </c>
      <c r="K44" s="76">
        <f t="shared" si="13"/>
        <v>155.55709230769233</v>
      </c>
      <c r="L44" s="51"/>
      <c r="M44" s="44">
        <v>1919</v>
      </c>
      <c r="N44" s="44">
        <v>13</v>
      </c>
      <c r="O44" s="65">
        <v>147.62</v>
      </c>
      <c r="P44" s="51">
        <f t="shared" si="14"/>
        <v>155.56195600000001</v>
      </c>
      <c r="Q44" s="44"/>
      <c r="R44" s="44"/>
      <c r="S44" s="65"/>
      <c r="T44" s="51" t="str">
        <f t="shared" si="15"/>
        <v/>
      </c>
      <c r="U44" s="46" t="s">
        <v>45</v>
      </c>
      <c r="V44" s="46">
        <v>84020</v>
      </c>
      <c r="W44" s="69" t="s">
        <v>218</v>
      </c>
      <c r="X44" s="70" t="s">
        <v>209</v>
      </c>
      <c r="Z44" s="47"/>
      <c r="AA44" s="267"/>
      <c r="AB44" s="48"/>
      <c r="AC44" s="48"/>
    </row>
    <row r="45" spans="1:29" s="46" customFormat="1" x14ac:dyDescent="0.25">
      <c r="A45" s="39" t="s">
        <v>245</v>
      </c>
      <c r="B45" s="40" t="s">
        <v>102</v>
      </c>
      <c r="C45" s="41" t="s">
        <v>103</v>
      </c>
      <c r="D45" s="42">
        <v>44927</v>
      </c>
      <c r="E45" s="42">
        <v>45291</v>
      </c>
      <c r="F45" s="42">
        <f t="shared" si="16"/>
        <v>45107</v>
      </c>
      <c r="G45" s="112">
        <f>_xlfn.XLOOKUP(F45,'A-6 CMS Market Basket Index '!$AZ$3:$AZ$8,'A-6 CMS Market Basket Index '!$BF$3:$BF$8)</f>
        <v>1.0538000000000001</v>
      </c>
      <c r="H45" s="43">
        <f t="shared" si="10"/>
        <v>1620057</v>
      </c>
      <c r="I45" s="44">
        <f t="shared" si="11"/>
        <v>10888</v>
      </c>
      <c r="J45" s="65">
        <f t="shared" si="12"/>
        <v>148.7928912564291</v>
      </c>
      <c r="K45" s="76">
        <f t="shared" si="13"/>
        <v>156.797948806025</v>
      </c>
      <c r="L45" s="51"/>
      <c r="M45" s="44">
        <v>1620057</v>
      </c>
      <c r="N45" s="44">
        <v>10888</v>
      </c>
      <c r="O45" s="65">
        <v>148.79</v>
      </c>
      <c r="P45" s="51">
        <f t="shared" si="14"/>
        <v>156.79490200000001</v>
      </c>
      <c r="Q45" s="44"/>
      <c r="R45" s="44"/>
      <c r="S45" s="65"/>
      <c r="T45" s="51" t="str">
        <f t="shared" si="15"/>
        <v/>
      </c>
      <c r="U45" s="46" t="s">
        <v>104</v>
      </c>
      <c r="V45" s="46">
        <v>84119</v>
      </c>
      <c r="W45" s="69" t="s">
        <v>218</v>
      </c>
      <c r="X45" s="70" t="s">
        <v>209</v>
      </c>
      <c r="Z45" s="47"/>
      <c r="AA45" s="267"/>
      <c r="AB45" s="48"/>
      <c r="AC45" s="48"/>
    </row>
    <row r="46" spans="1:29" s="46" customFormat="1" x14ac:dyDescent="0.25">
      <c r="A46" s="39" t="s">
        <v>245</v>
      </c>
      <c r="B46" s="40" t="s">
        <v>85</v>
      </c>
      <c r="C46" s="41" t="s">
        <v>84</v>
      </c>
      <c r="D46" s="42">
        <v>44927</v>
      </c>
      <c r="E46" s="42">
        <v>45291</v>
      </c>
      <c r="F46" s="42">
        <f t="shared" si="16"/>
        <v>45107</v>
      </c>
      <c r="G46" s="112">
        <f>_xlfn.XLOOKUP(F46,'A-6 CMS Market Basket Index '!$AZ$3:$AZ$8,'A-6 CMS Market Basket Index '!$BF$3:$BF$8)</f>
        <v>1.0538000000000001</v>
      </c>
      <c r="H46" s="43">
        <f t="shared" si="10"/>
        <v>33833</v>
      </c>
      <c r="I46" s="44">
        <f t="shared" si="11"/>
        <v>221</v>
      </c>
      <c r="J46" s="65">
        <f t="shared" si="12"/>
        <v>153.09049773755657</v>
      </c>
      <c r="K46" s="76">
        <f t="shared" si="13"/>
        <v>161.32676651583714</v>
      </c>
      <c r="L46" s="51"/>
      <c r="M46" s="44">
        <v>22764</v>
      </c>
      <c r="N46" s="44">
        <v>116</v>
      </c>
      <c r="O46" s="65">
        <v>196.24</v>
      </c>
      <c r="P46" s="51">
        <f t="shared" si="14"/>
        <v>206.79771200000002</v>
      </c>
      <c r="Q46" s="44">
        <v>11069</v>
      </c>
      <c r="R46" s="44">
        <v>105</v>
      </c>
      <c r="S46" s="65">
        <v>105.42</v>
      </c>
      <c r="T46" s="51">
        <f t="shared" si="15"/>
        <v>111.09159600000001</v>
      </c>
      <c r="U46" s="46" t="s">
        <v>45</v>
      </c>
      <c r="V46" s="46">
        <v>84020</v>
      </c>
      <c r="W46" s="69" t="s">
        <v>218</v>
      </c>
      <c r="X46" s="70" t="s">
        <v>209</v>
      </c>
      <c r="Z46" s="47"/>
      <c r="AA46" s="267"/>
      <c r="AB46" s="48"/>
      <c r="AC46" s="48"/>
    </row>
    <row r="47" spans="1:29" s="46" customFormat="1" x14ac:dyDescent="0.25">
      <c r="A47" s="39" t="s">
        <v>245</v>
      </c>
      <c r="B47" s="40" t="s">
        <v>105</v>
      </c>
      <c r="C47" s="41" t="s">
        <v>106</v>
      </c>
      <c r="D47" s="42">
        <v>44927</v>
      </c>
      <c r="E47" s="42">
        <v>45291</v>
      </c>
      <c r="F47" s="42">
        <f t="shared" si="16"/>
        <v>45107</v>
      </c>
      <c r="G47" s="112">
        <f>_xlfn.XLOOKUP(F47,'A-6 CMS Market Basket Index '!$AZ$3:$AZ$8,'A-6 CMS Market Basket Index '!$BF$3:$BF$8)</f>
        <v>1.0538000000000001</v>
      </c>
      <c r="H47" s="43">
        <f t="shared" si="10"/>
        <v>42333</v>
      </c>
      <c r="I47" s="44">
        <f t="shared" si="11"/>
        <v>276</v>
      </c>
      <c r="J47" s="65">
        <f t="shared" si="12"/>
        <v>153.38043478260869</v>
      </c>
      <c r="K47" s="76">
        <f t="shared" si="13"/>
        <v>161.63230217391305</v>
      </c>
      <c r="L47" s="51"/>
      <c r="M47" s="44">
        <v>37131</v>
      </c>
      <c r="N47" s="44">
        <v>252</v>
      </c>
      <c r="O47" s="65">
        <v>147.35</v>
      </c>
      <c r="P47" s="51">
        <f t="shared" si="14"/>
        <v>155.27743000000001</v>
      </c>
      <c r="Q47" s="44">
        <v>5202</v>
      </c>
      <c r="R47" s="44">
        <v>24</v>
      </c>
      <c r="S47" s="65">
        <v>216.75</v>
      </c>
      <c r="T47" s="51">
        <f t="shared" si="15"/>
        <v>228.41115000000002</v>
      </c>
      <c r="U47" s="46" t="s">
        <v>49</v>
      </c>
      <c r="V47" s="46">
        <v>84003</v>
      </c>
      <c r="W47" s="69" t="s">
        <v>15</v>
      </c>
      <c r="X47" s="70" t="s">
        <v>213</v>
      </c>
      <c r="Z47" s="47"/>
      <c r="AA47" s="267"/>
      <c r="AB47" s="48"/>
      <c r="AC47" s="48"/>
    </row>
    <row r="48" spans="1:29" s="46" customFormat="1" x14ac:dyDescent="0.25">
      <c r="A48" s="39" t="s">
        <v>245</v>
      </c>
      <c r="B48" s="40" t="s">
        <v>67</v>
      </c>
      <c r="C48" s="41" t="s">
        <v>68</v>
      </c>
      <c r="D48" s="42">
        <v>44927</v>
      </c>
      <c r="E48" s="42">
        <v>45291</v>
      </c>
      <c r="F48" s="42">
        <f t="shared" si="16"/>
        <v>45107</v>
      </c>
      <c r="G48" s="112">
        <f>_xlfn.XLOOKUP(F48,'A-6 CMS Market Basket Index '!$AZ$3:$AZ$8,'A-6 CMS Market Basket Index '!$BF$3:$BF$8)</f>
        <v>1.0538000000000001</v>
      </c>
      <c r="H48" s="43">
        <f t="shared" si="10"/>
        <v>9912</v>
      </c>
      <c r="I48" s="44">
        <f t="shared" si="11"/>
        <v>62</v>
      </c>
      <c r="J48" s="65">
        <f t="shared" si="12"/>
        <v>159.87096774193549</v>
      </c>
      <c r="K48" s="76">
        <f t="shared" si="13"/>
        <v>168.47202580645163</v>
      </c>
      <c r="L48" s="51"/>
      <c r="M48" s="44">
        <v>9912</v>
      </c>
      <c r="N48" s="44">
        <v>62</v>
      </c>
      <c r="O48" s="65">
        <v>159.87</v>
      </c>
      <c r="P48" s="51">
        <f t="shared" si="14"/>
        <v>168.47100600000002</v>
      </c>
      <c r="Q48" s="44"/>
      <c r="R48" s="44"/>
      <c r="S48" s="65"/>
      <c r="T48" s="51" t="str">
        <f t="shared" si="15"/>
        <v/>
      </c>
      <c r="U48" s="46" t="s">
        <v>52</v>
      </c>
      <c r="V48" s="46">
        <v>84790</v>
      </c>
      <c r="W48" s="69" t="s">
        <v>223</v>
      </c>
      <c r="X48" s="70" t="s">
        <v>209</v>
      </c>
      <c r="Z48" s="47"/>
      <c r="AA48" s="267"/>
      <c r="AB48" s="48"/>
      <c r="AC48" s="48"/>
    </row>
    <row r="49" spans="1:29" s="46" customFormat="1" x14ac:dyDescent="0.25">
      <c r="A49" s="39" t="s">
        <v>245</v>
      </c>
      <c r="B49" s="40" t="s">
        <v>100</v>
      </c>
      <c r="C49" s="41" t="s">
        <v>57</v>
      </c>
      <c r="D49" s="42">
        <v>44927</v>
      </c>
      <c r="E49" s="42">
        <v>45291</v>
      </c>
      <c r="F49" s="42">
        <f t="shared" si="16"/>
        <v>45107</v>
      </c>
      <c r="G49" s="112">
        <f>_xlfn.XLOOKUP(F49,'A-6 CMS Market Basket Index '!$AZ$3:$AZ$8,'A-6 CMS Market Basket Index '!$BF$3:$BF$8)</f>
        <v>1.0538000000000001</v>
      </c>
      <c r="H49" s="43">
        <f t="shared" si="10"/>
        <v>31140</v>
      </c>
      <c r="I49" s="44">
        <f t="shared" si="11"/>
        <v>191</v>
      </c>
      <c r="J49" s="65">
        <f t="shared" si="12"/>
        <v>163.03664921465969</v>
      </c>
      <c r="K49" s="76">
        <f t="shared" si="13"/>
        <v>171.8080209424084</v>
      </c>
      <c r="L49" s="51"/>
      <c r="M49" s="44">
        <v>15031</v>
      </c>
      <c r="N49" s="44">
        <v>96</v>
      </c>
      <c r="O49" s="65">
        <v>156.57</v>
      </c>
      <c r="P49" s="51">
        <f t="shared" si="14"/>
        <v>164.99346600000001</v>
      </c>
      <c r="Q49" s="44">
        <v>16109</v>
      </c>
      <c r="R49" s="44">
        <v>95</v>
      </c>
      <c r="S49" s="65">
        <v>169.57</v>
      </c>
      <c r="T49" s="51">
        <f t="shared" si="15"/>
        <v>178.69286600000001</v>
      </c>
      <c r="U49" s="46" t="s">
        <v>101</v>
      </c>
      <c r="V49" s="46">
        <v>84095</v>
      </c>
      <c r="W49" s="69" t="s">
        <v>218</v>
      </c>
      <c r="X49" s="70" t="s">
        <v>209</v>
      </c>
      <c r="Z49" s="47"/>
      <c r="AA49" s="267"/>
      <c r="AB49" s="48"/>
      <c r="AC49" s="48"/>
    </row>
    <row r="50" spans="1:29" s="46" customFormat="1" x14ac:dyDescent="0.25">
      <c r="A50" s="39" t="s">
        <v>245</v>
      </c>
      <c r="B50" s="40" t="s">
        <v>56</v>
      </c>
      <c r="C50" s="41" t="s">
        <v>184</v>
      </c>
      <c r="D50" s="42">
        <v>44927</v>
      </c>
      <c r="E50" s="42">
        <v>45291</v>
      </c>
      <c r="F50" s="42">
        <f t="shared" si="16"/>
        <v>45107</v>
      </c>
      <c r="G50" s="112">
        <f>_xlfn.XLOOKUP(F50,'A-6 CMS Market Basket Index '!$AZ$3:$AZ$8,'A-6 CMS Market Basket Index '!$BF$3:$BF$8)</f>
        <v>1.0538000000000001</v>
      </c>
      <c r="H50" s="43">
        <f t="shared" si="10"/>
        <v>1668867</v>
      </c>
      <c r="I50" s="44">
        <f t="shared" si="11"/>
        <v>10211</v>
      </c>
      <c r="J50" s="65">
        <f t="shared" si="12"/>
        <v>163.43815493095681</v>
      </c>
      <c r="K50" s="76">
        <f t="shared" si="13"/>
        <v>172.23112766624229</v>
      </c>
      <c r="L50" s="51"/>
      <c r="M50" s="44">
        <v>1668867</v>
      </c>
      <c r="N50" s="44">
        <v>10211</v>
      </c>
      <c r="O50" s="65">
        <v>163.44</v>
      </c>
      <c r="P50" s="51">
        <f t="shared" si="14"/>
        <v>172.23307200000002</v>
      </c>
      <c r="Q50" s="44"/>
      <c r="R50" s="44"/>
      <c r="S50" s="65"/>
      <c r="T50" s="51" t="str">
        <f t="shared" si="15"/>
        <v/>
      </c>
      <c r="U50" s="46" t="s">
        <v>16</v>
      </c>
      <c r="V50" s="46">
        <v>84010</v>
      </c>
      <c r="W50" s="69" t="s">
        <v>212</v>
      </c>
      <c r="X50" s="70" t="s">
        <v>213</v>
      </c>
      <c r="Z50" s="47"/>
      <c r="AA50" s="267"/>
      <c r="AB50" s="48"/>
      <c r="AC50" s="48"/>
    </row>
    <row r="51" spans="1:29" s="46" customFormat="1" x14ac:dyDescent="0.25">
      <c r="A51" s="39" t="s">
        <v>245</v>
      </c>
      <c r="B51" s="40" t="s">
        <v>171</v>
      </c>
      <c r="C51" s="41" t="s">
        <v>172</v>
      </c>
      <c r="D51" s="42">
        <v>44927</v>
      </c>
      <c r="E51" s="42">
        <v>45291</v>
      </c>
      <c r="F51" s="42">
        <f t="shared" si="16"/>
        <v>45107</v>
      </c>
      <c r="G51" s="112">
        <f>_xlfn.XLOOKUP(F51,'A-6 CMS Market Basket Index '!$AZ$3:$AZ$8,'A-6 CMS Market Basket Index '!$BF$3:$BF$8)</f>
        <v>1.0538000000000001</v>
      </c>
      <c r="H51" s="43">
        <f t="shared" si="10"/>
        <v>12631</v>
      </c>
      <c r="I51" s="44">
        <f t="shared" si="11"/>
        <v>77</v>
      </c>
      <c r="J51" s="65">
        <f t="shared" si="12"/>
        <v>164.03896103896105</v>
      </c>
      <c r="K51" s="76">
        <f t="shared" si="13"/>
        <v>172.86425714285716</v>
      </c>
      <c r="L51" s="51"/>
      <c r="M51" s="44">
        <v>11928</v>
      </c>
      <c r="N51" s="44">
        <v>72</v>
      </c>
      <c r="O51" s="65">
        <v>165.67</v>
      </c>
      <c r="P51" s="51">
        <f t="shared" si="14"/>
        <v>174.583046</v>
      </c>
      <c r="Q51" s="44">
        <v>703</v>
      </c>
      <c r="R51" s="44">
        <v>5</v>
      </c>
      <c r="S51" s="65">
        <v>140.6</v>
      </c>
      <c r="T51" s="51">
        <f t="shared" si="15"/>
        <v>148.16427999999999</v>
      </c>
      <c r="U51" s="46" t="s">
        <v>173</v>
      </c>
      <c r="V51" s="46">
        <v>84117</v>
      </c>
      <c r="W51" s="69" t="s">
        <v>218</v>
      </c>
      <c r="X51" s="70" t="s">
        <v>209</v>
      </c>
      <c r="Z51" s="47"/>
      <c r="AA51" s="267"/>
      <c r="AB51" s="48"/>
      <c r="AC51" s="48"/>
    </row>
    <row r="52" spans="1:29" s="46" customFormat="1" x14ac:dyDescent="0.25">
      <c r="A52" s="39" t="s">
        <v>245</v>
      </c>
      <c r="B52" s="40" t="s">
        <v>138</v>
      </c>
      <c r="C52" s="41" t="s">
        <v>139</v>
      </c>
      <c r="D52" s="42">
        <v>44927</v>
      </c>
      <c r="E52" s="42">
        <v>45291</v>
      </c>
      <c r="F52" s="42">
        <f t="shared" si="16"/>
        <v>45107</v>
      </c>
      <c r="G52" s="112">
        <f>_xlfn.XLOOKUP(F52,'A-6 CMS Market Basket Index '!$AZ$3:$AZ$8,'A-6 CMS Market Basket Index '!$BF$3:$BF$8)</f>
        <v>1.0538000000000001</v>
      </c>
      <c r="H52" s="43">
        <f t="shared" si="10"/>
        <v>40307</v>
      </c>
      <c r="I52" s="44">
        <f t="shared" si="11"/>
        <v>242</v>
      </c>
      <c r="J52" s="65">
        <f t="shared" si="12"/>
        <v>166.55785123966942</v>
      </c>
      <c r="K52" s="76">
        <f t="shared" si="13"/>
        <v>175.51866363636364</v>
      </c>
      <c r="L52" s="51"/>
      <c r="M52" s="44">
        <v>40307</v>
      </c>
      <c r="N52" s="44">
        <v>242</v>
      </c>
      <c r="O52" s="65">
        <v>166.56</v>
      </c>
      <c r="P52" s="51">
        <f t="shared" si="14"/>
        <v>175.52092800000003</v>
      </c>
      <c r="Q52" s="44"/>
      <c r="R52" s="44"/>
      <c r="S52" s="65"/>
      <c r="T52" s="51" t="str">
        <f t="shared" si="15"/>
        <v/>
      </c>
      <c r="U52" s="46" t="s">
        <v>51</v>
      </c>
      <c r="V52" s="46">
        <v>84721</v>
      </c>
      <c r="W52" s="69" t="s">
        <v>216</v>
      </c>
      <c r="X52" s="70" t="s">
        <v>209</v>
      </c>
      <c r="Z52" s="47"/>
      <c r="AA52" s="267"/>
      <c r="AB52" s="48"/>
      <c r="AC52" s="48"/>
    </row>
    <row r="53" spans="1:29" s="46" customFormat="1" x14ac:dyDescent="0.25">
      <c r="A53" s="39" t="s">
        <v>245</v>
      </c>
      <c r="B53" s="40" t="s">
        <v>169</v>
      </c>
      <c r="C53" s="41" t="s">
        <v>170</v>
      </c>
      <c r="D53" s="42">
        <v>44927</v>
      </c>
      <c r="E53" s="42">
        <v>45291</v>
      </c>
      <c r="F53" s="42">
        <f t="shared" si="16"/>
        <v>45107</v>
      </c>
      <c r="G53" s="112">
        <f>_xlfn.XLOOKUP(F53,'A-6 CMS Market Basket Index '!$AZ$3:$AZ$8,'A-6 CMS Market Basket Index '!$BF$3:$BF$8)</f>
        <v>1.0538000000000001</v>
      </c>
      <c r="H53" s="43">
        <f t="shared" si="10"/>
        <v>32098</v>
      </c>
      <c r="I53" s="44">
        <f t="shared" si="11"/>
        <v>189</v>
      </c>
      <c r="J53" s="65">
        <f t="shared" si="12"/>
        <v>169.83068783068782</v>
      </c>
      <c r="K53" s="76">
        <f t="shared" si="13"/>
        <v>178.96757883597883</v>
      </c>
      <c r="L53" s="51"/>
      <c r="M53" s="44">
        <v>31831</v>
      </c>
      <c r="N53" s="44">
        <v>185</v>
      </c>
      <c r="O53" s="65">
        <v>172.06</v>
      </c>
      <c r="P53" s="51">
        <f t="shared" si="14"/>
        <v>181.31682800000002</v>
      </c>
      <c r="Q53" s="44">
        <v>267</v>
      </c>
      <c r="R53" s="44">
        <v>4</v>
      </c>
      <c r="S53" s="65">
        <v>66.75</v>
      </c>
      <c r="T53" s="51">
        <f t="shared" si="15"/>
        <v>70.341149999999999</v>
      </c>
      <c r="U53" s="46" t="s">
        <v>45</v>
      </c>
      <c r="V53" s="46">
        <v>84020</v>
      </c>
      <c r="W53" s="69" t="s">
        <v>218</v>
      </c>
      <c r="X53" s="70" t="s">
        <v>209</v>
      </c>
      <c r="Z53" s="47"/>
      <c r="AA53" s="267"/>
      <c r="AB53" s="48"/>
      <c r="AC53" s="48"/>
    </row>
    <row r="54" spans="1:29" s="46" customFormat="1" x14ac:dyDescent="0.25">
      <c r="A54" s="39" t="s">
        <v>245</v>
      </c>
      <c r="B54" s="40" t="s">
        <v>115</v>
      </c>
      <c r="C54" s="41" t="s">
        <v>113</v>
      </c>
      <c r="D54" s="42">
        <v>44927</v>
      </c>
      <c r="E54" s="42">
        <v>45291</v>
      </c>
      <c r="F54" s="42">
        <f t="shared" si="16"/>
        <v>45107</v>
      </c>
      <c r="G54" s="112">
        <f>_xlfn.XLOOKUP(F54,'A-6 CMS Market Basket Index '!$AZ$3:$AZ$8,'A-6 CMS Market Basket Index '!$BF$3:$BF$8)</f>
        <v>1.0538000000000001</v>
      </c>
      <c r="H54" s="43">
        <f t="shared" si="10"/>
        <v>1031959</v>
      </c>
      <c r="I54" s="44">
        <f t="shared" si="11"/>
        <v>6010</v>
      </c>
      <c r="J54" s="65">
        <f t="shared" si="12"/>
        <v>171.70698835274541</v>
      </c>
      <c r="K54" s="76">
        <f t="shared" si="13"/>
        <v>180.94482432612313</v>
      </c>
      <c r="L54" s="51"/>
      <c r="M54" s="44">
        <v>793163</v>
      </c>
      <c r="N54" s="44">
        <v>4262</v>
      </c>
      <c r="O54" s="65">
        <v>186.1</v>
      </c>
      <c r="P54" s="51">
        <f t="shared" si="14"/>
        <v>196.11218</v>
      </c>
      <c r="Q54" s="44">
        <v>238796</v>
      </c>
      <c r="R54" s="44">
        <v>1748</v>
      </c>
      <c r="S54" s="65">
        <v>136.61000000000001</v>
      </c>
      <c r="T54" s="51">
        <f t="shared" si="15"/>
        <v>143.95961800000003</v>
      </c>
      <c r="U54" s="46" t="s">
        <v>48</v>
      </c>
      <c r="V54" s="46">
        <v>84123</v>
      </c>
      <c r="W54" s="69" t="s">
        <v>218</v>
      </c>
      <c r="X54" s="70" t="s">
        <v>209</v>
      </c>
      <c r="Z54" s="47"/>
      <c r="AA54" s="267"/>
      <c r="AB54" s="48"/>
      <c r="AC54" s="48"/>
    </row>
    <row r="55" spans="1:29" s="46" customFormat="1" x14ac:dyDescent="0.25">
      <c r="A55" s="39" t="s">
        <v>245</v>
      </c>
      <c r="B55" s="40" t="s">
        <v>117</v>
      </c>
      <c r="C55" s="41" t="s">
        <v>118</v>
      </c>
      <c r="D55" s="42">
        <v>44927</v>
      </c>
      <c r="E55" s="42">
        <v>45291</v>
      </c>
      <c r="F55" s="42">
        <f t="shared" si="16"/>
        <v>45107</v>
      </c>
      <c r="G55" s="112">
        <f>_xlfn.XLOOKUP(F55,'A-6 CMS Market Basket Index '!$AZ$3:$AZ$8,'A-6 CMS Market Basket Index '!$BF$3:$BF$8)</f>
        <v>1.0538000000000001</v>
      </c>
      <c r="H55" s="43">
        <f t="shared" si="10"/>
        <v>59221</v>
      </c>
      <c r="I55" s="44">
        <f t="shared" si="11"/>
        <v>339</v>
      </c>
      <c r="J55" s="65">
        <f t="shared" si="12"/>
        <v>174.69321533923303</v>
      </c>
      <c r="K55" s="76">
        <f t="shared" si="13"/>
        <v>184.09171032448378</v>
      </c>
      <c r="L55" s="51"/>
      <c r="M55" s="44">
        <v>58853</v>
      </c>
      <c r="N55" s="44">
        <v>326</v>
      </c>
      <c r="O55" s="65">
        <v>180.53</v>
      </c>
      <c r="P55" s="51">
        <f t="shared" si="14"/>
        <v>190.242514</v>
      </c>
      <c r="Q55" s="44">
        <v>368</v>
      </c>
      <c r="R55" s="44">
        <v>13</v>
      </c>
      <c r="S55" s="65">
        <v>28.31</v>
      </c>
      <c r="T55" s="51">
        <f t="shared" si="15"/>
        <v>29.833078</v>
      </c>
      <c r="U55" s="46" t="s">
        <v>17</v>
      </c>
      <c r="V55" s="46">
        <v>84057</v>
      </c>
      <c r="W55" s="69" t="s">
        <v>15</v>
      </c>
      <c r="X55" s="70" t="s">
        <v>213</v>
      </c>
      <c r="Z55" s="47"/>
      <c r="AA55" s="267"/>
      <c r="AB55" s="48"/>
      <c r="AC55" s="48"/>
    </row>
    <row r="56" spans="1:29" s="46" customFormat="1" x14ac:dyDescent="0.25">
      <c r="A56" s="39" t="s">
        <v>245</v>
      </c>
      <c r="B56" s="40" t="s">
        <v>143</v>
      </c>
      <c r="C56" s="41" t="s">
        <v>144</v>
      </c>
      <c r="D56" s="42">
        <v>44927</v>
      </c>
      <c r="E56" s="42">
        <v>45291</v>
      </c>
      <c r="F56" s="42">
        <f t="shared" si="16"/>
        <v>45107</v>
      </c>
      <c r="G56" s="112">
        <f>_xlfn.XLOOKUP(F56,'A-6 CMS Market Basket Index '!$AZ$3:$AZ$8,'A-6 CMS Market Basket Index '!$BF$3:$BF$8)</f>
        <v>1.0538000000000001</v>
      </c>
      <c r="H56" s="43">
        <f t="shared" si="10"/>
        <v>426686</v>
      </c>
      <c r="I56" s="44">
        <f t="shared" si="11"/>
        <v>2439</v>
      </c>
      <c r="J56" s="65">
        <f t="shared" si="12"/>
        <v>174.94300943009429</v>
      </c>
      <c r="K56" s="76">
        <f t="shared" si="13"/>
        <v>184.35494333743338</v>
      </c>
      <c r="L56" s="51"/>
      <c r="M56" s="44">
        <v>426686</v>
      </c>
      <c r="N56" s="44">
        <v>2439</v>
      </c>
      <c r="O56" s="65">
        <v>174.94</v>
      </c>
      <c r="P56" s="51">
        <f t="shared" si="14"/>
        <v>184.35177200000001</v>
      </c>
      <c r="Q56" s="44"/>
      <c r="R56" s="44"/>
      <c r="S56" s="65"/>
      <c r="T56" s="51" t="str">
        <f t="shared" si="15"/>
        <v/>
      </c>
      <c r="U56" s="46" t="s">
        <v>50</v>
      </c>
      <c r="V56" s="46">
        <v>84341</v>
      </c>
      <c r="W56" s="69" t="s">
        <v>210</v>
      </c>
      <c r="X56" s="70" t="s">
        <v>209</v>
      </c>
      <c r="Z56" s="47"/>
      <c r="AA56" s="267"/>
      <c r="AB56" s="48"/>
      <c r="AC56" s="48"/>
    </row>
    <row r="57" spans="1:29" s="46" customFormat="1" x14ac:dyDescent="0.25">
      <c r="A57" s="39" t="s">
        <v>245</v>
      </c>
      <c r="B57" s="40" t="s">
        <v>121</v>
      </c>
      <c r="C57" s="41" t="s">
        <v>122</v>
      </c>
      <c r="D57" s="42">
        <v>44927</v>
      </c>
      <c r="E57" s="42">
        <v>45291</v>
      </c>
      <c r="F57" s="42">
        <f t="shared" si="16"/>
        <v>45107</v>
      </c>
      <c r="G57" s="112">
        <f>_xlfn.XLOOKUP(F57,'A-6 CMS Market Basket Index '!$AZ$3:$AZ$8,'A-6 CMS Market Basket Index '!$BF$3:$BF$8)</f>
        <v>1.0538000000000001</v>
      </c>
      <c r="H57" s="43">
        <f t="shared" si="10"/>
        <v>150470</v>
      </c>
      <c r="I57" s="44">
        <f t="shared" si="11"/>
        <v>810</v>
      </c>
      <c r="J57" s="65">
        <f t="shared" si="12"/>
        <v>185.76543209876544</v>
      </c>
      <c r="K57" s="76">
        <f t="shared" si="13"/>
        <v>195.75961234567905</v>
      </c>
      <c r="L57" s="51"/>
      <c r="M57" s="44">
        <v>133471</v>
      </c>
      <c r="N57" s="44">
        <v>696</v>
      </c>
      <c r="O57" s="65">
        <v>191.77</v>
      </c>
      <c r="P57" s="51">
        <f t="shared" si="14"/>
        <v>202.08722600000002</v>
      </c>
      <c r="Q57" s="44">
        <v>16999</v>
      </c>
      <c r="R57" s="44">
        <v>114</v>
      </c>
      <c r="S57" s="65">
        <v>149.11000000000001</v>
      </c>
      <c r="T57" s="51">
        <f t="shared" si="15"/>
        <v>157.13211800000002</v>
      </c>
      <c r="U57" s="46" t="s">
        <v>17</v>
      </c>
      <c r="V57" s="46">
        <v>84057</v>
      </c>
      <c r="W57" s="69" t="s">
        <v>15</v>
      </c>
      <c r="X57" s="70" t="s">
        <v>213</v>
      </c>
      <c r="Z57" s="47"/>
      <c r="AA57" s="267"/>
      <c r="AB57" s="48"/>
      <c r="AC57" s="48"/>
    </row>
    <row r="58" spans="1:29" s="46" customFormat="1" x14ac:dyDescent="0.25">
      <c r="A58" s="39" t="s">
        <v>245</v>
      </c>
      <c r="B58" s="40" t="s">
        <v>93</v>
      </c>
      <c r="C58" s="41" t="s">
        <v>94</v>
      </c>
      <c r="D58" s="42">
        <v>44927</v>
      </c>
      <c r="E58" s="42">
        <v>45291</v>
      </c>
      <c r="F58" s="42">
        <f t="shared" si="16"/>
        <v>45107</v>
      </c>
      <c r="G58" s="112">
        <f>_xlfn.XLOOKUP(F58,'A-6 CMS Market Basket Index '!$AZ$3:$AZ$8,'A-6 CMS Market Basket Index '!$BF$3:$BF$8)</f>
        <v>1.0538000000000001</v>
      </c>
      <c r="H58" s="43">
        <f t="shared" si="10"/>
        <v>176490</v>
      </c>
      <c r="I58" s="44">
        <f t="shared" si="11"/>
        <v>936</v>
      </c>
      <c r="J58" s="65">
        <f t="shared" si="12"/>
        <v>188.55769230769232</v>
      </c>
      <c r="K58" s="76">
        <f t="shared" si="13"/>
        <v>198.70209615384618</v>
      </c>
      <c r="L58" s="51"/>
      <c r="M58" s="44">
        <v>176490</v>
      </c>
      <c r="N58" s="44">
        <v>936</v>
      </c>
      <c r="O58" s="65">
        <v>188.56</v>
      </c>
      <c r="P58" s="51">
        <f t="shared" si="14"/>
        <v>198.70452800000001</v>
      </c>
      <c r="Q58" s="44"/>
      <c r="R58" s="44"/>
      <c r="S58" s="65"/>
      <c r="T58" s="51" t="str">
        <f t="shared" si="15"/>
        <v/>
      </c>
      <c r="U58" s="46" t="s">
        <v>18</v>
      </c>
      <c r="V58" s="46">
        <v>84107</v>
      </c>
      <c r="W58" s="69" t="s">
        <v>218</v>
      </c>
      <c r="X58" s="70" t="s">
        <v>209</v>
      </c>
      <c r="Z58" s="47"/>
      <c r="AA58" s="267"/>
      <c r="AB58" s="48"/>
      <c r="AC58" s="48"/>
    </row>
    <row r="59" spans="1:29" s="46" customFormat="1" x14ac:dyDescent="0.25">
      <c r="A59" s="39" t="s">
        <v>245</v>
      </c>
      <c r="B59" s="40" t="s">
        <v>116</v>
      </c>
      <c r="C59" s="41" t="s">
        <v>114</v>
      </c>
      <c r="D59" s="42">
        <v>44927</v>
      </c>
      <c r="E59" s="42">
        <v>45291</v>
      </c>
      <c r="F59" s="42">
        <f t="shared" si="16"/>
        <v>45107</v>
      </c>
      <c r="G59" s="112">
        <f>_xlfn.XLOOKUP(F59,'A-6 CMS Market Basket Index '!$AZ$3:$AZ$8,'A-6 CMS Market Basket Index '!$BF$3:$BF$8)</f>
        <v>1.0538000000000001</v>
      </c>
      <c r="H59" s="43">
        <f t="shared" si="10"/>
        <v>425376</v>
      </c>
      <c r="I59" s="44">
        <f t="shared" si="11"/>
        <v>2212</v>
      </c>
      <c r="J59" s="65">
        <f t="shared" si="12"/>
        <v>192.30379746835442</v>
      </c>
      <c r="K59" s="76">
        <f t="shared" si="13"/>
        <v>202.64974177215191</v>
      </c>
      <c r="L59" s="51"/>
      <c r="M59" s="44">
        <v>411392</v>
      </c>
      <c r="N59" s="44">
        <v>2084</v>
      </c>
      <c r="O59" s="65">
        <v>197.4</v>
      </c>
      <c r="P59" s="51">
        <f t="shared" si="14"/>
        <v>208.02012000000002</v>
      </c>
      <c r="Q59" s="44">
        <v>13984</v>
      </c>
      <c r="R59" s="44">
        <v>128</v>
      </c>
      <c r="S59" s="65">
        <v>109.25</v>
      </c>
      <c r="T59" s="51">
        <f t="shared" si="15"/>
        <v>115.12765</v>
      </c>
      <c r="U59" s="46" t="s">
        <v>62</v>
      </c>
      <c r="V59" s="46">
        <v>84770</v>
      </c>
      <c r="W59" s="69" t="s">
        <v>223</v>
      </c>
      <c r="X59" s="70" t="s">
        <v>209</v>
      </c>
      <c r="Z59" s="47"/>
      <c r="AA59" s="267"/>
      <c r="AB59" s="48"/>
      <c r="AC59" s="48"/>
    </row>
    <row r="60" spans="1:29" s="46" customFormat="1" x14ac:dyDescent="0.25">
      <c r="A60" s="39" t="s">
        <v>245</v>
      </c>
      <c r="B60" s="40" t="s">
        <v>154</v>
      </c>
      <c r="C60" s="41" t="s">
        <v>155</v>
      </c>
      <c r="D60" s="42">
        <v>44927</v>
      </c>
      <c r="E60" s="42">
        <v>45291</v>
      </c>
      <c r="F60" s="42">
        <f t="shared" si="16"/>
        <v>45107</v>
      </c>
      <c r="G60" s="112">
        <f>_xlfn.XLOOKUP(F60,'A-6 CMS Market Basket Index '!$AZ$3:$AZ$8,'A-6 CMS Market Basket Index '!$BF$3:$BF$8)</f>
        <v>1.0538000000000001</v>
      </c>
      <c r="H60" s="43">
        <f t="shared" si="10"/>
        <v>197333</v>
      </c>
      <c r="I60" s="44">
        <f t="shared" si="11"/>
        <v>998</v>
      </c>
      <c r="J60" s="65">
        <f t="shared" si="12"/>
        <v>197.72845691382764</v>
      </c>
      <c r="K60" s="76">
        <f t="shared" si="13"/>
        <v>208.36624789579159</v>
      </c>
      <c r="L60" s="51"/>
      <c r="M60" s="44">
        <v>153334</v>
      </c>
      <c r="N60" s="44">
        <v>690</v>
      </c>
      <c r="O60" s="65">
        <v>222.22</v>
      </c>
      <c r="P60" s="51">
        <f t="shared" si="14"/>
        <v>234.17543600000002</v>
      </c>
      <c r="Q60" s="44">
        <v>43999</v>
      </c>
      <c r="R60" s="44">
        <v>308</v>
      </c>
      <c r="S60" s="65">
        <v>142.85</v>
      </c>
      <c r="T60" s="51">
        <f t="shared" si="15"/>
        <v>150.53533000000002</v>
      </c>
      <c r="U60" s="46" t="s">
        <v>47</v>
      </c>
      <c r="V60" s="46">
        <v>84341</v>
      </c>
      <c r="W60" s="69" t="s">
        <v>210</v>
      </c>
      <c r="X60" s="70" t="s">
        <v>209</v>
      </c>
      <c r="Z60" s="47"/>
      <c r="AA60" s="267"/>
      <c r="AB60" s="48"/>
      <c r="AC60" s="48"/>
    </row>
    <row r="61" spans="1:29" s="46" customFormat="1" x14ac:dyDescent="0.25">
      <c r="A61" s="39" t="s">
        <v>245</v>
      </c>
      <c r="B61" s="40" t="s">
        <v>192</v>
      </c>
      <c r="C61" s="41" t="s">
        <v>193</v>
      </c>
      <c r="D61" s="42">
        <v>44927</v>
      </c>
      <c r="E61" s="42">
        <v>45291</v>
      </c>
      <c r="F61" s="42">
        <f t="shared" si="16"/>
        <v>45107</v>
      </c>
      <c r="G61" s="112">
        <f>_xlfn.XLOOKUP(F61,'A-6 CMS Market Basket Index '!$AZ$3:$AZ$8,'A-6 CMS Market Basket Index '!$BF$3:$BF$8)</f>
        <v>1.0538000000000001</v>
      </c>
      <c r="H61" s="43">
        <f t="shared" si="10"/>
        <v>63501</v>
      </c>
      <c r="I61" s="44">
        <f t="shared" si="11"/>
        <v>317</v>
      </c>
      <c r="J61" s="65">
        <f t="shared" si="12"/>
        <v>200.3186119873817</v>
      </c>
      <c r="K61" s="76">
        <f t="shared" si="13"/>
        <v>211.09575331230286</v>
      </c>
      <c r="L61" s="51"/>
      <c r="M61" s="44">
        <v>61063</v>
      </c>
      <c r="N61" s="44">
        <v>300</v>
      </c>
      <c r="O61" s="65">
        <v>203.54</v>
      </c>
      <c r="P61" s="51">
        <f t="shared" si="14"/>
        <v>214.490452</v>
      </c>
      <c r="Q61" s="44">
        <v>2438</v>
      </c>
      <c r="R61" s="44">
        <v>17</v>
      </c>
      <c r="S61" s="65">
        <v>143.41</v>
      </c>
      <c r="T61" s="51">
        <f t="shared" si="15"/>
        <v>151.12545800000001</v>
      </c>
      <c r="U61" s="46" t="s">
        <v>62</v>
      </c>
      <c r="V61" s="46">
        <v>84790</v>
      </c>
      <c r="W61" s="69" t="s">
        <v>223</v>
      </c>
      <c r="X61" s="70" t="s">
        <v>209</v>
      </c>
      <c r="Z61" s="47"/>
      <c r="AA61" s="267"/>
      <c r="AB61" s="48"/>
      <c r="AC61" s="48"/>
    </row>
    <row r="62" spans="1:29" s="46" customFormat="1" x14ac:dyDescent="0.25">
      <c r="A62" s="39" t="s">
        <v>245</v>
      </c>
      <c r="B62" s="40" t="s">
        <v>185</v>
      </c>
      <c r="C62" s="41" t="s">
        <v>186</v>
      </c>
      <c r="D62" s="42">
        <v>44927</v>
      </c>
      <c r="E62" s="42">
        <v>45291</v>
      </c>
      <c r="F62" s="42">
        <f t="shared" si="16"/>
        <v>45107</v>
      </c>
      <c r="G62" s="112">
        <f>_xlfn.XLOOKUP(F62,'A-6 CMS Market Basket Index '!$AZ$3:$AZ$8,'A-6 CMS Market Basket Index '!$BF$3:$BF$8)</f>
        <v>1.0538000000000001</v>
      </c>
      <c r="H62" s="43">
        <f t="shared" si="10"/>
        <v>173217</v>
      </c>
      <c r="I62" s="44">
        <f t="shared" si="11"/>
        <v>835</v>
      </c>
      <c r="J62" s="65">
        <f t="shared" si="12"/>
        <v>207.44550898203593</v>
      </c>
      <c r="K62" s="76">
        <f t="shared" si="13"/>
        <v>218.60607736526947</v>
      </c>
      <c r="L62" s="51"/>
      <c r="M62" s="44">
        <v>163443</v>
      </c>
      <c r="N62" s="44">
        <v>676</v>
      </c>
      <c r="O62" s="65">
        <v>241.78</v>
      </c>
      <c r="P62" s="51">
        <f t="shared" si="14"/>
        <v>254.78776400000001</v>
      </c>
      <c r="Q62" s="44">
        <v>9774</v>
      </c>
      <c r="R62" s="44">
        <v>159</v>
      </c>
      <c r="S62" s="65">
        <v>61.47</v>
      </c>
      <c r="T62" s="51">
        <f t="shared" si="15"/>
        <v>64.777085999999997</v>
      </c>
      <c r="U62" s="46" t="s">
        <v>39</v>
      </c>
      <c r="V62" s="46">
        <v>84041</v>
      </c>
      <c r="W62" s="69" t="s">
        <v>212</v>
      </c>
      <c r="X62" s="70" t="s">
        <v>213</v>
      </c>
      <c r="Z62" s="47"/>
      <c r="AA62" s="267"/>
      <c r="AB62" s="48"/>
      <c r="AC62" s="48"/>
    </row>
    <row r="63" spans="1:29" s="46" customFormat="1" x14ac:dyDescent="0.25">
      <c r="A63" s="39" t="s">
        <v>245</v>
      </c>
      <c r="B63" s="40" t="s">
        <v>119</v>
      </c>
      <c r="C63" s="41" t="s">
        <v>120</v>
      </c>
      <c r="D63" s="42">
        <v>44927</v>
      </c>
      <c r="E63" s="42">
        <v>45291</v>
      </c>
      <c r="F63" s="42">
        <f t="shared" si="16"/>
        <v>45107</v>
      </c>
      <c r="G63" s="112">
        <f>_xlfn.XLOOKUP(F63,'A-6 CMS Market Basket Index '!$AZ$3:$AZ$8,'A-6 CMS Market Basket Index '!$BF$3:$BF$8)</f>
        <v>1.0538000000000001</v>
      </c>
      <c r="H63" s="43">
        <f t="shared" si="10"/>
        <v>638635</v>
      </c>
      <c r="I63" s="44">
        <f t="shared" si="11"/>
        <v>3043</v>
      </c>
      <c r="J63" s="65">
        <f t="shared" si="12"/>
        <v>209.87019388761092</v>
      </c>
      <c r="K63" s="76">
        <f t="shared" si="13"/>
        <v>221.1612103187644</v>
      </c>
      <c r="L63" s="51"/>
      <c r="M63" s="44">
        <v>622084</v>
      </c>
      <c r="N63" s="44">
        <v>2103</v>
      </c>
      <c r="O63" s="65">
        <v>295.81</v>
      </c>
      <c r="P63" s="51">
        <f t="shared" si="14"/>
        <v>311.72457800000001</v>
      </c>
      <c r="Q63" s="44">
        <v>16551</v>
      </c>
      <c r="R63" s="44">
        <v>940</v>
      </c>
      <c r="S63" s="65">
        <v>17.61</v>
      </c>
      <c r="T63" s="51">
        <f t="shared" si="15"/>
        <v>18.557418000000002</v>
      </c>
      <c r="U63" s="46" t="s">
        <v>104</v>
      </c>
      <c r="V63" s="46">
        <v>84119</v>
      </c>
      <c r="W63" s="69" t="s">
        <v>218</v>
      </c>
      <c r="X63" s="70" t="s">
        <v>209</v>
      </c>
      <c r="Z63" s="47"/>
      <c r="AA63" s="267"/>
      <c r="AB63" s="48"/>
      <c r="AC63" s="48"/>
    </row>
    <row r="64" spans="1:29" s="46" customFormat="1" x14ac:dyDescent="0.25">
      <c r="A64" s="50" t="s">
        <v>246</v>
      </c>
      <c r="B64" s="86" t="s">
        <v>38</v>
      </c>
      <c r="C64" s="87">
        <v>467081</v>
      </c>
      <c r="D64" s="88">
        <v>45292</v>
      </c>
      <c r="E64" s="88">
        <v>45412</v>
      </c>
      <c r="F64" s="42">
        <f t="shared" si="16"/>
        <v>45350</v>
      </c>
      <c r="G64" s="112">
        <f>_xlfn.XLOOKUP(F64,'A-6 CMS Market Basket Index '!$AZ$3:$AZ$8,'A-6 CMS Market Basket Index '!$BF$3:$BF$8)</f>
        <v>1.0233000000000001</v>
      </c>
      <c r="H64" s="43">
        <f t="shared" si="10"/>
        <v>37127</v>
      </c>
      <c r="I64" s="44">
        <f t="shared" si="11"/>
        <v>167</v>
      </c>
      <c r="J64" s="65">
        <f t="shared" si="12"/>
        <v>222.31736526946108</v>
      </c>
      <c r="K64" s="76">
        <f t="shared" si="13"/>
        <v>227.49735988023954</v>
      </c>
      <c r="L64" s="51"/>
      <c r="M64" s="49">
        <v>37127</v>
      </c>
      <c r="N64" s="49">
        <v>167</v>
      </c>
      <c r="O64" s="80">
        <v>222.32</v>
      </c>
      <c r="P64" s="51">
        <f t="shared" si="14"/>
        <v>227.500056</v>
      </c>
      <c r="Q64" s="49"/>
      <c r="R64" s="49"/>
      <c r="S64" s="80"/>
      <c r="T64" s="51" t="str">
        <f t="shared" si="15"/>
        <v/>
      </c>
      <c r="U64" s="90" t="s">
        <v>37</v>
      </c>
      <c r="V64" s="90">
        <v>84010</v>
      </c>
      <c r="W64" s="91" t="s">
        <v>212</v>
      </c>
      <c r="X64" s="92" t="s">
        <v>213</v>
      </c>
      <c r="Y64" s="52" t="s">
        <v>43</v>
      </c>
      <c r="Z64" s="53" t="s">
        <v>36</v>
      </c>
      <c r="AA64" s="267"/>
      <c r="AB64" s="48"/>
      <c r="AC64" s="48"/>
    </row>
    <row r="65" spans="1:29" s="46" customFormat="1" x14ac:dyDescent="0.25">
      <c r="A65" s="39" t="s">
        <v>245</v>
      </c>
      <c r="B65" s="40" t="s">
        <v>203</v>
      </c>
      <c r="C65" s="41" t="s">
        <v>204</v>
      </c>
      <c r="D65" s="42">
        <v>44927</v>
      </c>
      <c r="E65" s="42">
        <v>45291</v>
      </c>
      <c r="F65" s="42">
        <f t="shared" si="16"/>
        <v>45107</v>
      </c>
      <c r="G65" s="112">
        <f>_xlfn.XLOOKUP(F65,'A-6 CMS Market Basket Index '!$AZ$3:$AZ$8,'A-6 CMS Market Basket Index '!$BF$3:$BF$8)</f>
        <v>1.0538000000000001</v>
      </c>
      <c r="H65" s="43">
        <f t="shared" si="10"/>
        <v>661</v>
      </c>
      <c r="I65" s="44">
        <f t="shared" si="11"/>
        <v>3</v>
      </c>
      <c r="J65" s="65">
        <f t="shared" si="12"/>
        <v>220.33333333333334</v>
      </c>
      <c r="K65" s="76">
        <f t="shared" si="13"/>
        <v>232.18726666666669</v>
      </c>
      <c r="L65" s="51"/>
      <c r="M65" s="44">
        <v>440</v>
      </c>
      <c r="N65" s="44">
        <v>2</v>
      </c>
      <c r="O65" s="65">
        <v>220</v>
      </c>
      <c r="P65" s="51">
        <f t="shared" si="14"/>
        <v>231.83600000000001</v>
      </c>
      <c r="Q65" s="44">
        <v>221</v>
      </c>
      <c r="R65" s="44">
        <v>1</v>
      </c>
      <c r="S65" s="65">
        <v>221</v>
      </c>
      <c r="T65" s="51">
        <f t="shared" si="15"/>
        <v>232.88980000000001</v>
      </c>
      <c r="U65" s="46" t="s">
        <v>17</v>
      </c>
      <c r="V65" s="46">
        <v>84097</v>
      </c>
      <c r="W65" s="69" t="s">
        <v>15</v>
      </c>
      <c r="X65" s="70" t="s">
        <v>213</v>
      </c>
      <c r="Z65" s="47"/>
      <c r="AA65" s="267"/>
      <c r="AB65" s="48"/>
      <c r="AC65" s="48"/>
    </row>
    <row r="66" spans="1:29" s="46" customFormat="1" x14ac:dyDescent="0.25">
      <c r="A66" s="39" t="s">
        <v>245</v>
      </c>
      <c r="B66" s="40" t="s">
        <v>160</v>
      </c>
      <c r="C66" s="41" t="s">
        <v>161</v>
      </c>
      <c r="D66" s="42">
        <v>44927</v>
      </c>
      <c r="E66" s="42">
        <v>45291</v>
      </c>
      <c r="F66" s="42">
        <f t="shared" si="16"/>
        <v>45107</v>
      </c>
      <c r="G66" s="112">
        <f>_xlfn.XLOOKUP(F66,'A-6 CMS Market Basket Index '!$AZ$3:$AZ$8,'A-6 CMS Market Basket Index '!$BF$3:$BF$8)</f>
        <v>1.0538000000000001</v>
      </c>
      <c r="H66" s="43">
        <f t="shared" si="10"/>
        <v>754278</v>
      </c>
      <c r="I66" s="44">
        <f t="shared" si="11"/>
        <v>3018</v>
      </c>
      <c r="J66" s="65">
        <f t="shared" si="12"/>
        <v>249.92644135188866</v>
      </c>
      <c r="K66" s="76">
        <f t="shared" si="13"/>
        <v>263.37248389662028</v>
      </c>
      <c r="L66" s="51"/>
      <c r="M66" s="44">
        <v>754278</v>
      </c>
      <c r="N66" s="44">
        <v>3018</v>
      </c>
      <c r="O66" s="65">
        <v>249.93</v>
      </c>
      <c r="P66" s="51">
        <f t="shared" si="14"/>
        <v>263.37623400000001</v>
      </c>
      <c r="Q66" s="44"/>
      <c r="R66" s="44"/>
      <c r="S66" s="65"/>
      <c r="T66" s="51" t="str">
        <f t="shared" si="15"/>
        <v/>
      </c>
      <c r="U66" s="46" t="s">
        <v>62</v>
      </c>
      <c r="V66" s="46">
        <v>84770</v>
      </c>
      <c r="W66" s="69" t="s">
        <v>223</v>
      </c>
      <c r="X66" s="70" t="s">
        <v>209</v>
      </c>
      <c r="Z66" s="47"/>
      <c r="AA66" s="267"/>
      <c r="AB66" s="48"/>
      <c r="AC66" s="48"/>
    </row>
    <row r="67" spans="1:29" s="46" customFormat="1" x14ac:dyDescent="0.25">
      <c r="A67" s="39" t="s">
        <v>245</v>
      </c>
      <c r="B67" s="40" t="s">
        <v>156</v>
      </c>
      <c r="C67" s="41" t="s">
        <v>157</v>
      </c>
      <c r="D67" s="42">
        <v>44927</v>
      </c>
      <c r="E67" s="42">
        <v>45291</v>
      </c>
      <c r="F67" s="42">
        <f t="shared" si="16"/>
        <v>45107</v>
      </c>
      <c r="G67" s="112">
        <f>_xlfn.XLOOKUP(F67,'A-6 CMS Market Basket Index '!$AZ$3:$AZ$8,'A-6 CMS Market Basket Index '!$BF$3:$BF$8)</f>
        <v>1.0538000000000001</v>
      </c>
      <c r="H67" s="43">
        <f t="shared" si="10"/>
        <v>927914</v>
      </c>
      <c r="I67" s="44">
        <f t="shared" si="11"/>
        <v>3690</v>
      </c>
      <c r="J67" s="65">
        <f t="shared" si="12"/>
        <v>251.46720867208671</v>
      </c>
      <c r="K67" s="76">
        <f t="shared" si="13"/>
        <v>264.99614449864498</v>
      </c>
      <c r="L67" s="51"/>
      <c r="M67" s="44">
        <v>927914</v>
      </c>
      <c r="N67" s="44">
        <v>3690</v>
      </c>
      <c r="O67" s="65">
        <v>251.47</v>
      </c>
      <c r="P67" s="51">
        <f t="shared" si="14"/>
        <v>264.99908600000003</v>
      </c>
      <c r="Q67" s="44"/>
      <c r="R67" s="44"/>
      <c r="S67" s="65"/>
      <c r="T67" s="51" t="str">
        <f t="shared" si="15"/>
        <v/>
      </c>
      <c r="U67" s="46" t="s">
        <v>40</v>
      </c>
      <c r="V67" s="46">
        <v>84405</v>
      </c>
      <c r="W67" s="69" t="s">
        <v>224</v>
      </c>
      <c r="X67" s="70" t="s">
        <v>213</v>
      </c>
      <c r="Z67" s="47"/>
      <c r="AA67" s="267"/>
      <c r="AB67" s="48"/>
      <c r="AC67" s="48"/>
    </row>
    <row r="68" spans="1:29" s="46" customFormat="1" x14ac:dyDescent="0.25">
      <c r="A68" s="39" t="s">
        <v>245</v>
      </c>
      <c r="B68" s="40" t="s">
        <v>195</v>
      </c>
      <c r="C68" s="41" t="s">
        <v>194</v>
      </c>
      <c r="D68" s="42">
        <v>44927</v>
      </c>
      <c r="E68" s="42">
        <v>45291</v>
      </c>
      <c r="F68" s="42">
        <f t="shared" si="16"/>
        <v>45107</v>
      </c>
      <c r="G68" s="112">
        <f>_xlfn.XLOOKUP(F68,'A-6 CMS Market Basket Index '!$AZ$3:$AZ$8,'A-6 CMS Market Basket Index '!$BF$3:$BF$8)</f>
        <v>1.0538000000000001</v>
      </c>
      <c r="H68" s="43">
        <f t="shared" si="10"/>
        <v>38107</v>
      </c>
      <c r="I68" s="44">
        <f t="shared" si="11"/>
        <v>149</v>
      </c>
      <c r="J68" s="65">
        <f t="shared" si="12"/>
        <v>255.75167785234899</v>
      </c>
      <c r="K68" s="76">
        <f t="shared" si="13"/>
        <v>269.51111812080541</v>
      </c>
      <c r="L68" s="51"/>
      <c r="M68" s="44">
        <v>38107</v>
      </c>
      <c r="N68" s="44">
        <v>149</v>
      </c>
      <c r="O68" s="65">
        <v>255.75</v>
      </c>
      <c r="P68" s="51">
        <f t="shared" si="14"/>
        <v>269.50935000000004</v>
      </c>
      <c r="Q68" s="44"/>
      <c r="R68" s="44"/>
      <c r="S68" s="65"/>
      <c r="T68" s="51" t="str">
        <f t="shared" si="15"/>
        <v/>
      </c>
      <c r="U68" s="46" t="s">
        <v>50</v>
      </c>
      <c r="V68" s="46">
        <v>84321</v>
      </c>
      <c r="W68" s="69" t="s">
        <v>210</v>
      </c>
      <c r="X68" s="70" t="s">
        <v>209</v>
      </c>
      <c r="Z68" s="47"/>
      <c r="AA68" s="267"/>
      <c r="AB68" s="48"/>
      <c r="AC68" s="48"/>
    </row>
    <row r="69" spans="1:29" s="46" customFormat="1" x14ac:dyDescent="0.25">
      <c r="A69" s="39" t="s">
        <v>245</v>
      </c>
      <c r="B69" s="40" t="s">
        <v>78</v>
      </c>
      <c r="C69" s="41" t="s">
        <v>79</v>
      </c>
      <c r="D69" s="42">
        <v>44927</v>
      </c>
      <c r="E69" s="42">
        <v>45291</v>
      </c>
      <c r="F69" s="42">
        <f t="shared" si="16"/>
        <v>45107</v>
      </c>
      <c r="G69" s="112">
        <f>_xlfn.XLOOKUP(F69,'A-6 CMS Market Basket Index '!$AZ$3:$AZ$8,'A-6 CMS Market Basket Index '!$BF$3:$BF$8)</f>
        <v>1.0538000000000001</v>
      </c>
      <c r="H69" s="43">
        <f t="shared" si="10"/>
        <v>25293</v>
      </c>
      <c r="I69" s="44">
        <f t="shared" si="11"/>
        <v>91</v>
      </c>
      <c r="J69" s="65">
        <f t="shared" si="12"/>
        <v>277.94505494505495</v>
      </c>
      <c r="K69" s="76">
        <f t="shared" si="13"/>
        <v>292.89849890109895</v>
      </c>
      <c r="L69" s="51"/>
      <c r="M69" s="44">
        <v>25293</v>
      </c>
      <c r="N69" s="44">
        <v>91</v>
      </c>
      <c r="O69" s="65">
        <v>277.95</v>
      </c>
      <c r="P69" s="51">
        <f t="shared" si="14"/>
        <v>292.90370999999999</v>
      </c>
      <c r="Q69" s="44"/>
      <c r="R69" s="44"/>
      <c r="S69" s="65"/>
      <c r="T69" s="51" t="str">
        <f t="shared" si="15"/>
        <v/>
      </c>
      <c r="U69" s="46" t="s">
        <v>80</v>
      </c>
      <c r="V69" s="46">
        <v>84654</v>
      </c>
      <c r="W69" s="69" t="s">
        <v>221</v>
      </c>
      <c r="X69" s="70" t="s">
        <v>209</v>
      </c>
      <c r="Z69" s="47"/>
      <c r="AA69" s="267"/>
      <c r="AB69" s="48"/>
      <c r="AC69" s="48"/>
    </row>
    <row r="70" spans="1:29" s="46" customFormat="1" x14ac:dyDescent="0.25">
      <c r="A70" s="39" t="s">
        <v>245</v>
      </c>
      <c r="B70" s="40" t="s">
        <v>152</v>
      </c>
      <c r="C70" s="41" t="s">
        <v>153</v>
      </c>
      <c r="D70" s="42">
        <v>44927</v>
      </c>
      <c r="E70" s="42">
        <v>45291</v>
      </c>
      <c r="F70" s="42">
        <f t="shared" si="16"/>
        <v>45107</v>
      </c>
      <c r="G70" s="112">
        <f>_xlfn.XLOOKUP(F70,'A-6 CMS Market Basket Index '!$AZ$3:$AZ$8,'A-6 CMS Market Basket Index '!$BF$3:$BF$8)</f>
        <v>1.0538000000000001</v>
      </c>
      <c r="H70" s="43">
        <f t="shared" ref="H70:H78" si="17">IFERROR(M70+Q70,0)</f>
        <v>66354</v>
      </c>
      <c r="I70" s="44">
        <f t="shared" ref="I70:I78" si="18">IFERROR(N70+R70,0)</f>
        <v>236</v>
      </c>
      <c r="J70" s="65">
        <f t="shared" ref="J70:J78" si="19">IFERROR(H70/I70,0)</f>
        <v>281.16101694915255</v>
      </c>
      <c r="K70" s="76">
        <f t="shared" ref="K70:K78" si="20">IF(J70="","",J70*$G70)</f>
        <v>296.28747966101696</v>
      </c>
      <c r="L70" s="51"/>
      <c r="M70" s="44">
        <v>65358</v>
      </c>
      <c r="N70" s="44">
        <v>223</v>
      </c>
      <c r="O70" s="65">
        <v>293.08999999999997</v>
      </c>
      <c r="P70" s="51">
        <f t="shared" ref="P70:P78" si="21">IF(O70="","",O70*$G70)</f>
        <v>308.85824200000002</v>
      </c>
      <c r="Q70" s="44">
        <v>996</v>
      </c>
      <c r="R70" s="44">
        <v>13</v>
      </c>
      <c r="S70" s="65">
        <v>76.62</v>
      </c>
      <c r="T70" s="51">
        <f t="shared" ref="T70:T78" si="22">IF(S70="","",S70*$G70)</f>
        <v>80.742156000000008</v>
      </c>
      <c r="U70" s="46" t="s">
        <v>62</v>
      </c>
      <c r="V70" s="46">
        <v>84790</v>
      </c>
      <c r="W70" s="69" t="s">
        <v>223</v>
      </c>
      <c r="X70" s="70" t="s">
        <v>209</v>
      </c>
      <c r="Z70" s="47"/>
      <c r="AA70" s="267"/>
      <c r="AB70" s="48"/>
      <c r="AC70" s="48"/>
    </row>
    <row r="71" spans="1:29" s="46" customFormat="1" x14ac:dyDescent="0.25">
      <c r="A71" s="39" t="s">
        <v>245</v>
      </c>
      <c r="B71" s="40" t="s">
        <v>58</v>
      </c>
      <c r="C71" s="41" t="s">
        <v>59</v>
      </c>
      <c r="D71" s="42">
        <v>44927</v>
      </c>
      <c r="E71" s="42">
        <v>45291</v>
      </c>
      <c r="F71" s="42">
        <f t="shared" si="16"/>
        <v>45107</v>
      </c>
      <c r="G71" s="112">
        <f>_xlfn.XLOOKUP(F71,'A-6 CMS Market Basket Index '!$AZ$3:$AZ$8,'A-6 CMS Market Basket Index '!$BF$3:$BF$8)</f>
        <v>1.0538000000000001</v>
      </c>
      <c r="H71" s="43">
        <f t="shared" si="17"/>
        <v>215144</v>
      </c>
      <c r="I71" s="44">
        <f t="shared" si="18"/>
        <v>765</v>
      </c>
      <c r="J71" s="65">
        <f t="shared" si="19"/>
        <v>281.23398692810457</v>
      </c>
      <c r="K71" s="76">
        <f t="shared" si="20"/>
        <v>296.36437542483662</v>
      </c>
      <c r="L71" s="51"/>
      <c r="M71" s="44">
        <v>215144</v>
      </c>
      <c r="N71" s="44">
        <v>765</v>
      </c>
      <c r="O71" s="65">
        <v>281.23</v>
      </c>
      <c r="P71" s="51">
        <f t="shared" si="21"/>
        <v>296.36017400000003</v>
      </c>
      <c r="Q71" s="44"/>
      <c r="R71" s="44"/>
      <c r="S71" s="65"/>
      <c r="T71" s="51" t="str">
        <f t="shared" si="22"/>
        <v/>
      </c>
      <c r="U71" s="46" t="s">
        <v>42</v>
      </c>
      <c r="V71" s="46">
        <v>84070</v>
      </c>
      <c r="W71" s="69" t="s">
        <v>218</v>
      </c>
      <c r="X71" s="70" t="s">
        <v>209</v>
      </c>
      <c r="Z71" s="47"/>
      <c r="AA71" s="267"/>
      <c r="AB71" s="48"/>
      <c r="AC71" s="48"/>
    </row>
    <row r="72" spans="1:29" s="46" customFormat="1" x14ac:dyDescent="0.25">
      <c r="A72" s="39" t="s">
        <v>245</v>
      </c>
      <c r="B72" s="40" t="s">
        <v>158</v>
      </c>
      <c r="C72" s="41" t="s">
        <v>159</v>
      </c>
      <c r="D72" s="42">
        <v>44927</v>
      </c>
      <c r="E72" s="42">
        <v>45291</v>
      </c>
      <c r="F72" s="42">
        <f t="shared" si="16"/>
        <v>45107</v>
      </c>
      <c r="G72" s="112">
        <f>_xlfn.XLOOKUP(F72,'A-6 CMS Market Basket Index '!$AZ$3:$AZ$8,'A-6 CMS Market Basket Index '!$BF$3:$BF$8)</f>
        <v>1.0538000000000001</v>
      </c>
      <c r="H72" s="43">
        <f t="shared" si="17"/>
        <v>5027837</v>
      </c>
      <c r="I72" s="44">
        <f t="shared" si="18"/>
        <v>17068</v>
      </c>
      <c r="J72" s="65">
        <f t="shared" si="19"/>
        <v>294.57681040543707</v>
      </c>
      <c r="K72" s="76">
        <f t="shared" si="20"/>
        <v>310.42504280524963</v>
      </c>
      <c r="L72" s="51" t="str">
        <f t="shared" ref="L72:L77" si="23">IF(K72&gt;$K$95,"OL","")</f>
        <v/>
      </c>
      <c r="M72" s="44">
        <v>5027837</v>
      </c>
      <c r="N72" s="44">
        <v>17068</v>
      </c>
      <c r="O72" s="65">
        <v>294.58</v>
      </c>
      <c r="P72" s="51">
        <f t="shared" si="21"/>
        <v>310.428404</v>
      </c>
      <c r="Q72" s="44"/>
      <c r="R72" s="44"/>
      <c r="S72" s="65"/>
      <c r="T72" s="51" t="str">
        <f t="shared" si="22"/>
        <v/>
      </c>
      <c r="U72" s="46" t="s">
        <v>101</v>
      </c>
      <c r="V72" s="46">
        <v>84095</v>
      </c>
      <c r="W72" s="69" t="s">
        <v>218</v>
      </c>
      <c r="X72" s="70" t="s">
        <v>209</v>
      </c>
      <c r="Z72" s="47"/>
      <c r="AA72" s="267"/>
      <c r="AB72" s="48"/>
      <c r="AC72" s="48"/>
    </row>
    <row r="73" spans="1:29" s="46" customFormat="1" x14ac:dyDescent="0.25">
      <c r="A73" s="39" t="s">
        <v>245</v>
      </c>
      <c r="B73" s="40" t="s">
        <v>201</v>
      </c>
      <c r="C73" s="41" t="s">
        <v>202</v>
      </c>
      <c r="D73" s="42">
        <v>44927</v>
      </c>
      <c r="E73" s="42">
        <v>45291</v>
      </c>
      <c r="F73" s="42">
        <f t="shared" si="16"/>
        <v>45107</v>
      </c>
      <c r="G73" s="112">
        <f>_xlfn.XLOOKUP(F73,'A-6 CMS Market Basket Index '!$AZ$3:$AZ$8,'A-6 CMS Market Basket Index '!$BF$3:$BF$8)</f>
        <v>1.0538000000000001</v>
      </c>
      <c r="H73" s="43">
        <f t="shared" si="17"/>
        <v>68471</v>
      </c>
      <c r="I73" s="44">
        <f t="shared" si="18"/>
        <v>232</v>
      </c>
      <c r="J73" s="65">
        <f t="shared" si="19"/>
        <v>295.13362068965517</v>
      </c>
      <c r="K73" s="76">
        <f t="shared" si="20"/>
        <v>311.01180948275862</v>
      </c>
      <c r="L73" s="51" t="str">
        <f t="shared" si="23"/>
        <v/>
      </c>
      <c r="M73" s="44">
        <v>64020</v>
      </c>
      <c r="N73" s="44">
        <v>207</v>
      </c>
      <c r="O73" s="65">
        <v>309.27999999999997</v>
      </c>
      <c r="P73" s="51">
        <f t="shared" si="21"/>
        <v>325.919264</v>
      </c>
      <c r="Q73" s="44">
        <v>4451</v>
      </c>
      <c r="R73" s="44">
        <v>25</v>
      </c>
      <c r="S73" s="65">
        <v>178.04</v>
      </c>
      <c r="T73" s="51">
        <f t="shared" si="22"/>
        <v>187.61855199999999</v>
      </c>
      <c r="U73" s="46" t="s">
        <v>104</v>
      </c>
      <c r="V73" s="46">
        <v>84119</v>
      </c>
      <c r="W73" s="69" t="s">
        <v>218</v>
      </c>
      <c r="X73" s="70" t="s">
        <v>209</v>
      </c>
      <c r="Z73" s="47"/>
      <c r="AA73" s="267"/>
      <c r="AB73" s="48"/>
      <c r="AC73" s="48"/>
    </row>
    <row r="74" spans="1:29" s="52" customFormat="1" x14ac:dyDescent="0.25">
      <c r="A74" s="39" t="s">
        <v>245</v>
      </c>
      <c r="B74" s="40" t="s">
        <v>180</v>
      </c>
      <c r="C74" s="41" t="s">
        <v>181</v>
      </c>
      <c r="D74" s="42">
        <v>44927</v>
      </c>
      <c r="E74" s="42">
        <v>45291</v>
      </c>
      <c r="F74" s="42">
        <f t="shared" si="16"/>
        <v>45107</v>
      </c>
      <c r="G74" s="112">
        <f>_xlfn.XLOOKUP(F74,'A-6 CMS Market Basket Index '!$AZ$3:$AZ$8,'A-6 CMS Market Basket Index '!$BF$3:$BF$8)</f>
        <v>1.0538000000000001</v>
      </c>
      <c r="H74" s="43">
        <f t="shared" si="17"/>
        <v>686681</v>
      </c>
      <c r="I74" s="44">
        <f t="shared" si="18"/>
        <v>1817</v>
      </c>
      <c r="J74" s="65">
        <f t="shared" si="19"/>
        <v>377.92019812878368</v>
      </c>
      <c r="K74" s="76">
        <f t="shared" si="20"/>
        <v>398.25230478811227</v>
      </c>
      <c r="L74" s="51" t="str">
        <f t="shared" si="23"/>
        <v>OL</v>
      </c>
      <c r="M74" s="44">
        <v>686005</v>
      </c>
      <c r="N74" s="44">
        <v>1806</v>
      </c>
      <c r="O74" s="65">
        <v>379.85</v>
      </c>
      <c r="P74" s="51">
        <f t="shared" si="21"/>
        <v>400.28593000000006</v>
      </c>
      <c r="Q74" s="44">
        <v>676</v>
      </c>
      <c r="R74" s="44">
        <v>11</v>
      </c>
      <c r="S74" s="65">
        <v>61.45</v>
      </c>
      <c r="T74" s="51">
        <f t="shared" si="22"/>
        <v>64.756010000000003</v>
      </c>
      <c r="U74" s="46" t="s">
        <v>62</v>
      </c>
      <c r="V74" s="46">
        <v>84770</v>
      </c>
      <c r="W74" s="69" t="s">
        <v>223</v>
      </c>
      <c r="X74" s="70" t="s">
        <v>209</v>
      </c>
      <c r="Y74" s="46"/>
      <c r="Z74" s="47"/>
      <c r="AB74" s="54"/>
      <c r="AC74" s="54"/>
    </row>
    <row r="75" spans="1:29" s="52" customFormat="1" x14ac:dyDescent="0.25">
      <c r="A75" s="39" t="s">
        <v>245</v>
      </c>
      <c r="B75" s="40" t="s">
        <v>86</v>
      </c>
      <c r="C75" s="41" t="s">
        <v>87</v>
      </c>
      <c r="D75" s="42">
        <v>44927</v>
      </c>
      <c r="E75" s="42">
        <v>45291</v>
      </c>
      <c r="F75" s="42">
        <f t="shared" si="16"/>
        <v>45107</v>
      </c>
      <c r="G75" s="112">
        <f>_xlfn.XLOOKUP(F75,'A-6 CMS Market Basket Index '!$AZ$3:$AZ$8,'A-6 CMS Market Basket Index '!$BF$3:$BF$8)</f>
        <v>1.0538000000000001</v>
      </c>
      <c r="H75" s="43">
        <f t="shared" si="17"/>
        <v>10760</v>
      </c>
      <c r="I75" s="44">
        <f t="shared" si="18"/>
        <v>27</v>
      </c>
      <c r="J75" s="65">
        <f t="shared" si="19"/>
        <v>398.51851851851853</v>
      </c>
      <c r="K75" s="76">
        <f t="shared" si="20"/>
        <v>419.95881481481484</v>
      </c>
      <c r="L75" s="51" t="str">
        <f t="shared" si="23"/>
        <v>OL</v>
      </c>
      <c r="M75" s="44">
        <v>10760</v>
      </c>
      <c r="N75" s="44">
        <v>27</v>
      </c>
      <c r="O75" s="65">
        <v>398.52</v>
      </c>
      <c r="P75" s="51">
        <f t="shared" si="21"/>
        <v>419.960376</v>
      </c>
      <c r="Q75" s="44"/>
      <c r="R75" s="44"/>
      <c r="S75" s="65"/>
      <c r="T75" s="51" t="str">
        <f t="shared" si="22"/>
        <v/>
      </c>
      <c r="U75" s="46" t="s">
        <v>50</v>
      </c>
      <c r="V75" s="46">
        <v>84341</v>
      </c>
      <c r="W75" s="69" t="s">
        <v>210</v>
      </c>
      <c r="X75" s="70" t="s">
        <v>209</v>
      </c>
      <c r="Y75" s="46"/>
      <c r="Z75" s="47"/>
      <c r="AB75" s="54"/>
      <c r="AC75" s="54"/>
    </row>
    <row r="76" spans="1:29" s="52" customFormat="1" x14ac:dyDescent="0.25">
      <c r="A76" s="39" t="s">
        <v>245</v>
      </c>
      <c r="B76" s="40" t="s">
        <v>125</v>
      </c>
      <c r="C76" s="41" t="s">
        <v>126</v>
      </c>
      <c r="D76" s="42">
        <v>44927</v>
      </c>
      <c r="E76" s="42">
        <v>45291</v>
      </c>
      <c r="F76" s="42">
        <f t="shared" si="16"/>
        <v>45107</v>
      </c>
      <c r="G76" s="112">
        <f>_xlfn.XLOOKUP(F76,'A-6 CMS Market Basket Index '!$AZ$3:$AZ$8,'A-6 CMS Market Basket Index '!$BF$3:$BF$8)</f>
        <v>1.0538000000000001</v>
      </c>
      <c r="H76" s="43">
        <f t="shared" si="17"/>
        <v>743084</v>
      </c>
      <c r="I76" s="44">
        <f t="shared" si="18"/>
        <v>1481</v>
      </c>
      <c r="J76" s="65">
        <f t="shared" si="19"/>
        <v>501.744767049291</v>
      </c>
      <c r="K76" s="76">
        <f t="shared" si="20"/>
        <v>528.7386355165429</v>
      </c>
      <c r="L76" s="51" t="str">
        <f t="shared" si="23"/>
        <v>OL</v>
      </c>
      <c r="M76" s="44">
        <v>743084</v>
      </c>
      <c r="N76" s="44">
        <v>1481</v>
      </c>
      <c r="O76" s="65">
        <v>501.74</v>
      </c>
      <c r="P76" s="51">
        <f t="shared" si="21"/>
        <v>528.73361199999999</v>
      </c>
      <c r="Q76" s="44"/>
      <c r="R76" s="44"/>
      <c r="S76" s="65"/>
      <c r="T76" s="51" t="str">
        <f t="shared" si="22"/>
        <v/>
      </c>
      <c r="U76" s="46" t="s">
        <v>48</v>
      </c>
      <c r="V76" s="46">
        <v>84123</v>
      </c>
      <c r="W76" s="69" t="s">
        <v>218</v>
      </c>
      <c r="X76" s="70" t="s">
        <v>209</v>
      </c>
      <c r="Y76" s="46"/>
      <c r="Z76" s="47"/>
      <c r="AB76" s="54"/>
      <c r="AC76" s="54"/>
    </row>
    <row r="77" spans="1:29" s="52" customFormat="1" x14ac:dyDescent="0.25">
      <c r="A77" s="39" t="s">
        <v>245</v>
      </c>
      <c r="B77" s="40" t="s">
        <v>205</v>
      </c>
      <c r="C77" s="41" t="s">
        <v>206</v>
      </c>
      <c r="D77" s="42">
        <v>44927</v>
      </c>
      <c r="E77" s="42">
        <v>45291</v>
      </c>
      <c r="F77" s="42">
        <f t="shared" si="16"/>
        <v>45107</v>
      </c>
      <c r="G77" s="112">
        <f>_xlfn.XLOOKUP(F77,'A-6 CMS Market Basket Index '!$AZ$3:$AZ$8,'A-6 CMS Market Basket Index '!$BF$3:$BF$8)</f>
        <v>1.0538000000000001</v>
      </c>
      <c r="H77" s="43">
        <f t="shared" si="17"/>
        <v>364628</v>
      </c>
      <c r="I77" s="44">
        <f t="shared" si="18"/>
        <v>715</v>
      </c>
      <c r="J77" s="65">
        <f t="shared" si="19"/>
        <v>509.96923076923076</v>
      </c>
      <c r="K77" s="76">
        <f t="shared" si="20"/>
        <v>537.40557538461542</v>
      </c>
      <c r="L77" s="51" t="str">
        <f t="shared" si="23"/>
        <v>OL</v>
      </c>
      <c r="M77" s="44">
        <v>328796</v>
      </c>
      <c r="N77" s="44">
        <v>621</v>
      </c>
      <c r="O77" s="65">
        <v>529.46</v>
      </c>
      <c r="P77" s="51">
        <f t="shared" si="21"/>
        <v>557.94494800000007</v>
      </c>
      <c r="Q77" s="44">
        <v>35832</v>
      </c>
      <c r="R77" s="44">
        <v>94</v>
      </c>
      <c r="S77" s="65">
        <v>381.19</v>
      </c>
      <c r="T77" s="51">
        <f t="shared" si="22"/>
        <v>401.69802200000004</v>
      </c>
      <c r="U77" s="46" t="s">
        <v>18</v>
      </c>
      <c r="V77" s="46">
        <v>84107</v>
      </c>
      <c r="W77" s="69" t="s">
        <v>218</v>
      </c>
      <c r="X77" s="70" t="s">
        <v>209</v>
      </c>
      <c r="Y77" s="46"/>
      <c r="Z77" s="47"/>
      <c r="AB77" s="54"/>
      <c r="AC77" s="54"/>
    </row>
    <row r="78" spans="1:29" s="52" customFormat="1" x14ac:dyDescent="0.25">
      <c r="A78" s="50" t="s">
        <v>246</v>
      </c>
      <c r="B78" s="86" t="s">
        <v>31</v>
      </c>
      <c r="C78" s="87">
        <v>467034</v>
      </c>
      <c r="D78" s="88">
        <v>45108</v>
      </c>
      <c r="E78" s="88">
        <v>45473</v>
      </c>
      <c r="F78" s="42">
        <f>((D78+E78)/2)+1</f>
        <v>45291.5</v>
      </c>
      <c r="G78" s="112">
        <f>_xlfn.XLOOKUP(F78,'A-6 CMS Market Basket Index '!$AZ$3:$AZ$8,'A-6 CMS Market Basket Index '!$BF$3:$BF$8)</f>
        <v>1.0366</v>
      </c>
      <c r="H78" s="43">
        <f t="shared" si="17"/>
        <v>90522</v>
      </c>
      <c r="I78" s="44">
        <f t="shared" si="18"/>
        <v>151</v>
      </c>
      <c r="J78" s="65">
        <f t="shared" si="19"/>
        <v>599.48344370860923</v>
      </c>
      <c r="K78" s="76">
        <f t="shared" si="20"/>
        <v>621.42453774834428</v>
      </c>
      <c r="L78" s="51" t="str">
        <f>IF(K78&gt;$K$95,"OL","")</f>
        <v>OL</v>
      </c>
      <c r="M78" s="49">
        <v>90522</v>
      </c>
      <c r="N78" s="49">
        <v>151</v>
      </c>
      <c r="O78" s="80">
        <v>599.48</v>
      </c>
      <c r="P78" s="51">
        <f t="shared" si="21"/>
        <v>621.42096800000002</v>
      </c>
      <c r="Q78" s="49"/>
      <c r="R78" s="49"/>
      <c r="S78" s="80"/>
      <c r="T78" s="51" t="str">
        <f t="shared" si="22"/>
        <v/>
      </c>
      <c r="U78" s="90" t="s">
        <v>30</v>
      </c>
      <c r="V78" s="90">
        <v>84648</v>
      </c>
      <c r="W78" s="91" t="s">
        <v>217</v>
      </c>
      <c r="X78" s="92" t="s">
        <v>209</v>
      </c>
      <c r="Y78" s="52" t="s">
        <v>28</v>
      </c>
      <c r="Z78" s="53" t="s">
        <v>29</v>
      </c>
      <c r="AB78" s="54"/>
      <c r="AC78" s="54"/>
    </row>
    <row r="79" spans="1:29" s="133" customFormat="1" ht="15.75" thickBot="1" x14ac:dyDescent="0.3">
      <c r="A79" s="124" t="s">
        <v>386</v>
      </c>
      <c r="B79" s="125"/>
      <c r="C79" s="126"/>
      <c r="D79" s="127"/>
      <c r="E79" s="127"/>
      <c r="F79" s="127"/>
      <c r="G79" s="128">
        <f>AVERAGE(G6:G78)</f>
        <v>1.0526287671232879</v>
      </c>
      <c r="H79" s="129">
        <f>SUM(H6:H78)</f>
        <v>20744384</v>
      </c>
      <c r="I79" s="130">
        <f>SUM(I6:I78)</f>
        <v>122773</v>
      </c>
      <c r="J79" s="131">
        <f t="shared" ref="J79" si="24">IFERROR(H79/I79,0)</f>
        <v>168.96535883296815</v>
      </c>
      <c r="K79" s="131">
        <f>J79*$G79</f>
        <v>177.8577973548912</v>
      </c>
      <c r="L79" s="132"/>
      <c r="M79" s="129">
        <f>SUM(M6:M78)</f>
        <v>19867069</v>
      </c>
      <c r="N79" s="130">
        <f>SUM(N6:N78)</f>
        <v>111882</v>
      </c>
      <c r="O79" s="131">
        <f>M79/N79</f>
        <v>177.57162903773619</v>
      </c>
      <c r="P79" s="132">
        <f t="shared" ref="P79" si="25">O79*$G79</f>
        <v>186.91700495006609</v>
      </c>
      <c r="Q79" s="129">
        <f>SUM(Q6:Q78)</f>
        <v>877315</v>
      </c>
      <c r="R79" s="130">
        <f>SUM(R6:R78)</f>
        <v>10891</v>
      </c>
      <c r="S79" s="131">
        <f>Q79/R79</f>
        <v>80.554127261041231</v>
      </c>
      <c r="T79" s="132">
        <f t="shared" ref="T79" si="26">S79*$G79</f>
        <v>84.793591665482268</v>
      </c>
      <c r="W79" s="134"/>
      <c r="X79" s="135"/>
    </row>
    <row r="80" spans="1:29" s="46" customFormat="1" ht="15.75" thickTop="1" x14ac:dyDescent="0.25">
      <c r="A80" s="39"/>
      <c r="B80" s="40"/>
      <c r="C80" s="41"/>
      <c r="D80" s="42"/>
      <c r="E80" s="42"/>
      <c r="F80" s="42"/>
      <c r="G80" s="42"/>
      <c r="H80" s="44"/>
      <c r="I80" s="44"/>
      <c r="J80" s="65"/>
      <c r="K80" s="79"/>
      <c r="L80" s="71"/>
      <c r="M80" s="44"/>
      <c r="N80" s="44"/>
      <c r="O80" s="65"/>
      <c r="P80" s="45"/>
      <c r="Q80" s="44"/>
      <c r="R80" s="44"/>
      <c r="S80" s="65"/>
      <c r="T80" s="45"/>
      <c r="W80" s="69"/>
      <c r="X80" s="70"/>
    </row>
    <row r="81" spans="1:24" s="46" customFormat="1" x14ac:dyDescent="0.25">
      <c r="A81" s="39"/>
      <c r="B81" s="40"/>
      <c r="C81" s="41"/>
      <c r="D81" s="42"/>
      <c r="E81" s="55" t="s">
        <v>247</v>
      </c>
      <c r="F81" s="42"/>
      <c r="G81" s="42"/>
      <c r="H81" s="122"/>
      <c r="I81" s="57"/>
      <c r="J81" s="57" t="s">
        <v>390</v>
      </c>
      <c r="K81" s="57"/>
      <c r="L81" s="58"/>
      <c r="M81" s="122"/>
      <c r="N81" s="57"/>
      <c r="O81" s="57" t="s">
        <v>390</v>
      </c>
      <c r="P81" s="58"/>
      <c r="Q81" s="122"/>
      <c r="R81" s="57"/>
      <c r="S81" s="57" t="s">
        <v>390</v>
      </c>
      <c r="T81" s="58"/>
      <c r="W81" s="69"/>
      <c r="X81" s="70"/>
    </row>
    <row r="82" spans="1:24" s="46" customFormat="1" ht="17.25" x14ac:dyDescent="0.4">
      <c r="A82" s="39"/>
      <c r="B82" s="40"/>
      <c r="C82" s="59"/>
      <c r="D82" s="42"/>
      <c r="E82" s="42"/>
      <c r="F82" s="42"/>
      <c r="G82" s="42"/>
      <c r="H82" s="122"/>
      <c r="I82" s="61"/>
      <c r="J82" s="61" t="s">
        <v>383</v>
      </c>
      <c r="K82" s="61" t="s">
        <v>389</v>
      </c>
      <c r="L82" s="62"/>
      <c r="M82" s="122"/>
      <c r="N82" s="61"/>
      <c r="O82" s="61" t="s">
        <v>383</v>
      </c>
      <c r="P82" s="62" t="s">
        <v>389</v>
      </c>
      <c r="Q82" s="122"/>
      <c r="R82" s="61"/>
      <c r="S82" s="61" t="s">
        <v>383</v>
      </c>
      <c r="T82" s="62" t="s">
        <v>389</v>
      </c>
      <c r="W82" s="69"/>
      <c r="X82" s="70"/>
    </row>
    <row r="83" spans="1:24" s="46" customFormat="1" x14ac:dyDescent="0.25">
      <c r="A83" s="39"/>
      <c r="B83" s="40"/>
      <c r="C83" s="59"/>
      <c r="D83" s="42"/>
      <c r="F83" s="42"/>
      <c r="G83" s="42" t="s">
        <v>248</v>
      </c>
      <c r="H83" s="122"/>
      <c r="I83" s="72"/>
      <c r="J83" s="72">
        <f>MIN(K$10:K$73)</f>
        <v>37.42951544359255</v>
      </c>
      <c r="K83" s="72">
        <f>MIN(K$10:K$78)</f>
        <v>37.42951544359255</v>
      </c>
      <c r="L83" s="64"/>
      <c r="M83" s="122"/>
      <c r="N83" s="72"/>
      <c r="O83" s="41" t="s">
        <v>391</v>
      </c>
      <c r="P83" s="64">
        <f>MIN(P$6:P$78)</f>
        <v>37.434360000000005</v>
      </c>
      <c r="Q83" s="122"/>
      <c r="R83" s="72"/>
      <c r="S83" s="41" t="s">
        <v>391</v>
      </c>
      <c r="T83" s="64">
        <f>MIN(T$6:T$78)</f>
        <v>5.58514</v>
      </c>
      <c r="W83" s="69"/>
      <c r="X83" s="70"/>
    </row>
    <row r="84" spans="1:24" s="46" customFormat="1" x14ac:dyDescent="0.25">
      <c r="A84" s="39"/>
      <c r="B84" s="40"/>
      <c r="C84" s="59"/>
      <c r="D84" s="42"/>
      <c r="F84" s="42"/>
      <c r="G84" s="42" t="s">
        <v>249</v>
      </c>
      <c r="H84" s="122"/>
      <c r="I84" s="72"/>
      <c r="J84" s="72">
        <f>MAX(K$10:K$73)</f>
        <v>311.01180948275862</v>
      </c>
      <c r="K84" s="72">
        <f>MAX(K$10:K$78)</f>
        <v>621.42453774834428</v>
      </c>
      <c r="L84" s="64"/>
      <c r="M84" s="122"/>
      <c r="N84" s="72"/>
      <c r="O84" s="41" t="s">
        <v>391</v>
      </c>
      <c r="P84" s="64">
        <f>MAX(P$6:P$78)</f>
        <v>621.42096800000002</v>
      </c>
      <c r="Q84" s="122"/>
      <c r="R84" s="72"/>
      <c r="S84" s="41" t="s">
        <v>391</v>
      </c>
      <c r="T84" s="64">
        <f>MAX(T$6:T$78)</f>
        <v>401.69802200000004</v>
      </c>
      <c r="W84" s="69"/>
      <c r="X84" s="70"/>
    </row>
    <row r="85" spans="1:24" s="46" customFormat="1" x14ac:dyDescent="0.25">
      <c r="A85" s="39"/>
      <c r="B85" s="40"/>
      <c r="C85" s="59"/>
      <c r="D85" s="42"/>
      <c r="F85" s="42"/>
      <c r="G85" s="42" t="s">
        <v>250</v>
      </c>
      <c r="H85" s="122"/>
      <c r="I85" s="72"/>
      <c r="J85" s="72" cm="1">
        <f t="array" ref="J85">ROUND(MEDIAN(IF(K$10:K$73&gt;0,K$10:K$73)),2)</f>
        <v>150.36000000000001</v>
      </c>
      <c r="K85" s="72" cm="1">
        <f t="array" ref="K85">ROUND(MEDIAN(IF(K$10:K$78&gt;0,K$10:K$78)),2)</f>
        <v>155.56</v>
      </c>
      <c r="L85" s="64"/>
      <c r="M85" s="63"/>
      <c r="N85" s="72"/>
      <c r="O85" s="41" t="s">
        <v>391</v>
      </c>
      <c r="P85" s="64" cm="1">
        <f t="array" ref="P85">ROUND(MEDIAN(IF(P$6:P$78&gt;0,P$6:P$78)),2)</f>
        <v>155.56</v>
      </c>
      <c r="Q85" s="63"/>
      <c r="R85" s="72"/>
      <c r="S85" s="41" t="s">
        <v>391</v>
      </c>
      <c r="T85" s="64" cm="1">
        <f t="array" ref="T85">ROUND(MEDIAN(IF(T$6:T$78&gt;0,T$6:T$78)),2)</f>
        <v>83.67</v>
      </c>
      <c r="W85" s="69"/>
      <c r="X85" s="70"/>
    </row>
    <row r="86" spans="1:24" s="46" customFormat="1" x14ac:dyDescent="0.25">
      <c r="A86" s="39"/>
      <c r="B86" s="40"/>
      <c r="C86" s="59"/>
      <c r="D86" s="42"/>
      <c r="F86" s="42"/>
      <c r="G86" s="42" t="s">
        <v>251</v>
      </c>
      <c r="H86" s="122"/>
      <c r="I86" s="72"/>
      <c r="J86" s="72">
        <f>AVERAGE(K$10:K$73)</f>
        <v>159.39184821988059</v>
      </c>
      <c r="K86" s="72">
        <f>AVERAGE(K$10:K$78)</f>
        <v>184.15736455543171</v>
      </c>
      <c r="L86" s="64"/>
      <c r="M86" s="122"/>
      <c r="N86" s="72"/>
      <c r="O86" s="41" t="s">
        <v>391</v>
      </c>
      <c r="P86" s="64">
        <f>AVERAGE(P$6:P$78)</f>
        <v>189.86370037681161</v>
      </c>
      <c r="Q86" s="122"/>
      <c r="R86" s="72"/>
      <c r="S86" s="41" t="s">
        <v>391</v>
      </c>
      <c r="T86" s="64">
        <f>AVERAGE(T$6:T$78)</f>
        <v>111.23907830303028</v>
      </c>
      <c r="W86" s="69"/>
      <c r="X86" s="70"/>
    </row>
    <row r="87" spans="1:24" s="90" customFormat="1" x14ac:dyDescent="0.25">
      <c r="A87" s="167"/>
      <c r="B87" s="168" t="s">
        <v>458</v>
      </c>
      <c r="C87" s="169"/>
      <c r="D87" s="170"/>
      <c r="E87" s="171"/>
      <c r="F87" s="170"/>
      <c r="G87" s="170" t="s">
        <v>252</v>
      </c>
      <c r="H87" s="174"/>
      <c r="I87" s="172"/>
      <c r="J87" s="173">
        <f>SUMPRODUCT(K10:K73,I10:I73)/SUM(I10:I73)</f>
        <v>167.49280690239669</v>
      </c>
      <c r="K87" s="176">
        <f>K79</f>
        <v>177.8577973548912</v>
      </c>
      <c r="L87" s="177"/>
      <c r="M87" s="178"/>
      <c r="N87" s="80"/>
      <c r="O87" s="87" t="s">
        <v>391</v>
      </c>
      <c r="P87" s="177">
        <f>P79</f>
        <v>186.91700495006609</v>
      </c>
      <c r="Q87" s="178"/>
      <c r="R87" s="80"/>
      <c r="S87" s="87" t="s">
        <v>391</v>
      </c>
      <c r="T87" s="177">
        <f>T79</f>
        <v>84.793591665482268</v>
      </c>
      <c r="W87" s="91"/>
      <c r="X87" s="92"/>
    </row>
    <row r="88" spans="1:24" s="46" customFormat="1" x14ac:dyDescent="0.25">
      <c r="A88" s="39"/>
      <c r="B88" s="40"/>
      <c r="C88" s="59"/>
      <c r="F88" s="66">
        <v>0.5</v>
      </c>
      <c r="G88" s="42" t="s">
        <v>253</v>
      </c>
      <c r="H88" s="122"/>
      <c r="I88" s="72"/>
      <c r="J88" s="72">
        <f>ROUND(_xlfn.PERCENTILE.INC(K$10:K$73,$F$88),2)</f>
        <v>150.36000000000001</v>
      </c>
      <c r="K88" s="72">
        <f>ROUND(_xlfn.PERCENTILE.INC(K$10:K$78,$F$88),2)</f>
        <v>155.56</v>
      </c>
      <c r="L88" s="64"/>
      <c r="M88" s="122"/>
      <c r="N88" s="72"/>
      <c r="O88" s="41" t="s">
        <v>391</v>
      </c>
      <c r="P88" s="64">
        <f>ROUND(_xlfn.PERCENTILE.INC(P$6:P$78,$F$88),2)</f>
        <v>155.56</v>
      </c>
      <c r="Q88" s="122"/>
      <c r="R88" s="72"/>
      <c r="S88" s="41" t="s">
        <v>391</v>
      </c>
      <c r="T88" s="64">
        <f>ROUND(_xlfn.PERCENTILE.INC(T$6:T$78,$F$88),2)</f>
        <v>83.67</v>
      </c>
      <c r="W88" s="69"/>
      <c r="X88" s="70"/>
    </row>
    <row r="89" spans="1:24" s="46" customFormat="1" x14ac:dyDescent="0.25">
      <c r="A89" s="39"/>
      <c r="B89" s="40"/>
      <c r="C89" s="41"/>
      <c r="D89" s="42"/>
      <c r="F89" s="42"/>
      <c r="G89" s="42" t="s">
        <v>387</v>
      </c>
      <c r="H89" s="43"/>
      <c r="I89" s="44"/>
      <c r="J89" s="65">
        <f>_xlfn.STDEV.P(K10:K73)</f>
        <v>65.242527835620393</v>
      </c>
      <c r="K89" s="65">
        <f>_xlfn.STDEV.P(K10:K78)</f>
        <v>110.84895494770333</v>
      </c>
      <c r="L89" s="45"/>
      <c r="M89" s="43"/>
      <c r="N89" s="44"/>
      <c r="O89" s="41" t="s">
        <v>391</v>
      </c>
      <c r="P89" s="45">
        <f>_xlfn.STDEV.P(P6:P78)</f>
        <v>112.55487726039711</v>
      </c>
      <c r="Q89" s="43"/>
      <c r="R89" s="44"/>
      <c r="S89" s="41" t="s">
        <v>391</v>
      </c>
      <c r="T89" s="45">
        <f>_xlfn.STDEV.P(T6:T78)</f>
        <v>75.185121136288885</v>
      </c>
      <c r="W89" s="69"/>
      <c r="X89" s="70"/>
    </row>
    <row r="90" spans="1:24" x14ac:dyDescent="0.25">
      <c r="G90" s="46" t="s">
        <v>444</v>
      </c>
      <c r="H90" s="67"/>
      <c r="K90" s="65">
        <f>_xlfn.QUARTILE.INC(K10:K78,1)</f>
        <v>115.54493057471265</v>
      </c>
      <c r="L90" s="68"/>
      <c r="M90" s="67"/>
      <c r="Q90" s="67"/>
    </row>
    <row r="91" spans="1:24" x14ac:dyDescent="0.25">
      <c r="G91" s="46" t="s">
        <v>445</v>
      </c>
      <c r="K91" s="65">
        <f>_xlfn.QUARTILE.INC(K10:K78,2)</f>
        <v>155.55709230769233</v>
      </c>
    </row>
    <row r="92" spans="1:24" x14ac:dyDescent="0.25">
      <c r="G92" s="46" t="s">
        <v>446</v>
      </c>
      <c r="K92" s="65">
        <f>_xlfn.QUARTILE.INC(K10:K78,3)</f>
        <v>211.09575331230286</v>
      </c>
    </row>
    <row r="93" spans="1:24" x14ac:dyDescent="0.25">
      <c r="G93" s="46" t="s">
        <v>447</v>
      </c>
      <c r="K93" s="65">
        <f>_xlfn.QUARTILE.INC(K10:K78,4)</f>
        <v>621.42453774834428</v>
      </c>
    </row>
    <row r="94" spans="1:24" x14ac:dyDescent="0.25">
      <c r="G94" s="46" t="s">
        <v>448</v>
      </c>
      <c r="K94" s="65">
        <f>K92-K90</f>
        <v>95.550822737590209</v>
      </c>
    </row>
    <row r="95" spans="1:24" x14ac:dyDescent="0.25">
      <c r="G95" s="46" t="s">
        <v>451</v>
      </c>
      <c r="K95" s="65">
        <f>K92+K94*1.5</f>
        <v>354.42198741868816</v>
      </c>
    </row>
    <row r="96" spans="1:24" x14ac:dyDescent="0.25">
      <c r="G96" s="46" t="s">
        <v>452</v>
      </c>
      <c r="J96" s="162" t="str">
        <f>IF(K96&lt;0,"Negative, no low outlier","")</f>
        <v>Negative, no low outlier</v>
      </c>
      <c r="K96" s="65">
        <f>K90-1.5*K94</f>
        <v>-27.781303531672648</v>
      </c>
    </row>
  </sheetData>
  <autoFilter ref="B4:W89" xr:uid="{00000000-0009-0000-0000-000009000000}"/>
  <sortState xmlns:xlrd2="http://schemas.microsoft.com/office/spreadsheetml/2017/richdata2" ref="A6:Z78">
    <sortCondition ref="K6:K78"/>
  </sortState>
  <mergeCells count="1">
    <mergeCell ref="L2:L4"/>
  </mergeCells>
  <pageMargins left="0.7" right="0.7" top="0.75" bottom="0.75" header="0.3" footer="0.3"/>
  <pageSetup paperSize="3" scale="38" fitToHeight="0" orientation="landscape" verticalDpi="0" r:id="rId1"/>
  <rowBreaks count="1" manualBreakCount="1">
    <brk id="88" max="16383" man="1"/>
  </rowBreaks>
  <customProperties>
    <customPr name="OrphanNamesChecke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9908D-314C-40BE-B96B-CE71C0BF454D}">
  <sheetPr>
    <tabColor rgb="FF92D050"/>
    <pageSetUpPr fitToPage="1"/>
  </sheetPr>
  <dimension ref="A1:U96"/>
  <sheetViews>
    <sheetView workbookViewId="0">
      <selection activeCell="N34" sqref="N34"/>
    </sheetView>
  </sheetViews>
  <sheetFormatPr defaultRowHeight="15" x14ac:dyDescent="0.25"/>
  <cols>
    <col min="1" max="1" width="6.5703125" customWidth="1"/>
    <col min="2" max="2" width="27.85546875" style="1" customWidth="1"/>
    <col min="3" max="3" width="9.42578125" style="20" customWidth="1"/>
    <col min="4" max="4" width="10" style="2" customWidth="1"/>
    <col min="5" max="5" width="12.5703125" style="2" customWidth="1"/>
    <col min="6" max="6" width="12.7109375" style="2" customWidth="1"/>
    <col min="7" max="7" width="10" style="2" customWidth="1"/>
    <col min="8" max="8" width="12.85546875" customWidth="1"/>
    <col min="9" max="9" width="11.28515625" customWidth="1"/>
    <col min="10" max="11" width="11.42578125" style="77" customWidth="1"/>
    <col min="12" max="12" width="4.28515625" style="85" customWidth="1"/>
    <col min="13" max="13" width="10" customWidth="1"/>
    <col min="14" max="14" width="8.85546875" customWidth="1"/>
    <col min="15" max="16" width="11.42578125" style="4" customWidth="1"/>
    <col min="17" max="17" width="24.140625" customWidth="1"/>
  </cols>
  <sheetData>
    <row r="1" spans="1:21" s="18" customFormat="1" ht="39" customHeight="1" x14ac:dyDescent="0.55000000000000004">
      <c r="A1" s="9" t="s">
        <v>2</v>
      </c>
      <c r="B1" s="10"/>
      <c r="C1" s="10"/>
      <c r="D1" s="6"/>
      <c r="E1" s="6"/>
      <c r="F1" s="6"/>
      <c r="G1" s="6"/>
      <c r="H1" s="12" t="s">
        <v>231</v>
      </c>
      <c r="I1" s="12"/>
      <c r="J1" s="12"/>
      <c r="K1" s="12"/>
      <c r="L1" s="16"/>
      <c r="M1" s="17" t="s">
        <v>12</v>
      </c>
      <c r="N1" s="17" t="s">
        <v>14</v>
      </c>
      <c r="O1" s="17" t="s">
        <v>207</v>
      </c>
      <c r="P1" s="17" t="s">
        <v>234</v>
      </c>
      <c r="Q1" s="5" t="s">
        <v>235</v>
      </c>
      <c r="R1" s="5" t="s">
        <v>236</v>
      </c>
    </row>
    <row r="2" spans="1:21" ht="18.75" x14ac:dyDescent="0.4">
      <c r="A2" s="19" t="s">
        <v>237</v>
      </c>
      <c r="D2" s="1"/>
      <c r="G2" s="113" t="s">
        <v>257</v>
      </c>
      <c r="H2" s="22" t="s">
        <v>238</v>
      </c>
      <c r="I2" s="22" t="s">
        <v>239</v>
      </c>
      <c r="J2" s="73" t="s">
        <v>240</v>
      </c>
      <c r="K2" s="73" t="s">
        <v>258</v>
      </c>
      <c r="L2" s="281" t="s">
        <v>384</v>
      </c>
      <c r="M2" s="25"/>
      <c r="N2" s="25"/>
      <c r="O2" s="25"/>
      <c r="P2" s="25"/>
    </row>
    <row r="3" spans="1:21" s="5" customFormat="1" x14ac:dyDescent="0.25">
      <c r="A3" s="19" t="s">
        <v>241</v>
      </c>
      <c r="B3" s="8"/>
      <c r="C3" s="8" t="s">
        <v>242</v>
      </c>
      <c r="D3" s="8"/>
      <c r="E3" s="26"/>
      <c r="F3" s="26" t="s">
        <v>255</v>
      </c>
      <c r="G3" s="114" t="s">
        <v>259</v>
      </c>
      <c r="H3" s="8" t="s">
        <v>9</v>
      </c>
      <c r="I3" s="8" t="s">
        <v>9</v>
      </c>
      <c r="J3" s="74" t="s">
        <v>9</v>
      </c>
      <c r="K3" s="74" t="s">
        <v>259</v>
      </c>
      <c r="L3" s="281"/>
      <c r="M3" s="8" t="s">
        <v>3</v>
      </c>
      <c r="N3" s="8" t="s">
        <v>3</v>
      </c>
      <c r="O3" s="3"/>
      <c r="P3" s="3"/>
    </row>
    <row r="4" spans="1:21" s="5" customFormat="1" x14ac:dyDescent="0.25">
      <c r="A4" s="5" t="s">
        <v>243</v>
      </c>
      <c r="B4" s="29" t="s">
        <v>13</v>
      </c>
      <c r="C4" s="29" t="s">
        <v>244</v>
      </c>
      <c r="D4" s="30" t="s">
        <v>10</v>
      </c>
      <c r="E4" s="30" t="s">
        <v>11</v>
      </c>
      <c r="F4" s="30" t="s">
        <v>256</v>
      </c>
      <c r="G4" s="115" t="s">
        <v>261</v>
      </c>
      <c r="H4" s="29" t="s">
        <v>3</v>
      </c>
      <c r="I4" s="29" t="s">
        <v>4</v>
      </c>
      <c r="J4" s="29" t="s">
        <v>6</v>
      </c>
      <c r="K4" s="29" t="s">
        <v>260</v>
      </c>
      <c r="L4" s="282"/>
      <c r="M4" s="29" t="s">
        <v>5</v>
      </c>
      <c r="N4" s="29" t="s">
        <v>4</v>
      </c>
      <c r="O4" s="3"/>
      <c r="P4" s="3"/>
    </row>
    <row r="5" spans="1:21" s="34" customFormat="1" ht="18.75" x14ac:dyDescent="0.4">
      <c r="A5" s="33" t="s">
        <v>254</v>
      </c>
      <c r="C5" s="35"/>
      <c r="D5" s="36"/>
      <c r="E5" s="36"/>
      <c r="F5" s="36"/>
      <c r="G5" s="36"/>
      <c r="H5" s="35"/>
      <c r="I5" s="35"/>
      <c r="J5" s="75"/>
      <c r="K5" s="75"/>
      <c r="L5" s="81"/>
      <c r="M5" s="35"/>
      <c r="N5" s="35"/>
    </row>
    <row r="6" spans="1:21" s="46" customFormat="1" x14ac:dyDescent="0.25">
      <c r="A6" s="50" t="s">
        <v>246</v>
      </c>
      <c r="B6" s="86" t="s">
        <v>22</v>
      </c>
      <c r="C6" s="87">
        <v>467039</v>
      </c>
      <c r="D6" s="88">
        <v>44743</v>
      </c>
      <c r="E6" s="88">
        <v>45107</v>
      </c>
      <c r="F6" s="42">
        <f>((D6+E6)/2)+1</f>
        <v>44926</v>
      </c>
      <c r="G6" s="112">
        <f>_xlfn.XLOOKUP(F6,'A-6 CMS Market Basket Index '!$AZ$3:$AZ$8,'A-6 CMS Market Basket Index '!$BF$3:$BF$8)</f>
        <v>1.0788</v>
      </c>
      <c r="H6" s="49">
        <v>1397</v>
      </c>
      <c r="I6" s="49">
        <v>93</v>
      </c>
      <c r="J6" s="80">
        <v>15.02</v>
      </c>
      <c r="K6" s="76">
        <f t="shared" ref="K6:K37" si="0">IF(J6="","",J6*$G6)</f>
        <v>16.203575999999998</v>
      </c>
      <c r="L6" s="51" t="str">
        <f>IF($K$96&lt;0,"",IF(K6&lt;$K$96,"OL",""))</f>
        <v/>
      </c>
      <c r="M6" s="90" t="s">
        <v>21</v>
      </c>
      <c r="N6" s="90">
        <v>84066</v>
      </c>
      <c r="O6" s="91" t="s">
        <v>214</v>
      </c>
      <c r="P6" s="92" t="s">
        <v>209</v>
      </c>
      <c r="Q6" s="52" t="s">
        <v>19</v>
      </c>
      <c r="R6" s="53" t="s">
        <v>20</v>
      </c>
      <c r="S6" s="267"/>
      <c r="T6" s="48"/>
      <c r="U6" s="48"/>
    </row>
    <row r="7" spans="1:21" s="46" customFormat="1" x14ac:dyDescent="0.25">
      <c r="A7" s="39" t="s">
        <v>245</v>
      </c>
      <c r="B7" s="40" t="s">
        <v>143</v>
      </c>
      <c r="C7" s="41" t="s">
        <v>144</v>
      </c>
      <c r="D7" s="42">
        <v>44927</v>
      </c>
      <c r="E7" s="42">
        <v>45291</v>
      </c>
      <c r="F7" s="42">
        <f>((D7+E7)/2)-2</f>
        <v>45107</v>
      </c>
      <c r="G7" s="112">
        <f>_xlfn.XLOOKUP(F7,'A-6 CMS Market Basket Index '!$AZ$3:$AZ$8,'A-6 CMS Market Basket Index '!$BF$3:$BF$8)</f>
        <v>1.0538000000000001</v>
      </c>
      <c r="H7" s="44">
        <v>10880</v>
      </c>
      <c r="I7" s="44">
        <v>271</v>
      </c>
      <c r="J7" s="65">
        <v>40.15</v>
      </c>
      <c r="K7" s="76">
        <f t="shared" si="0"/>
        <v>42.310070000000003</v>
      </c>
      <c r="L7" s="51" t="str">
        <f t="shared" ref="L7:L19" si="1">IF($K$96&lt;0,"",IF(K7&lt;$K$96,"OL",""))</f>
        <v/>
      </c>
      <c r="M7" s="46" t="s">
        <v>50</v>
      </c>
      <c r="N7" s="46">
        <v>84341</v>
      </c>
      <c r="O7" s="69" t="s">
        <v>210</v>
      </c>
      <c r="P7" s="70" t="s">
        <v>209</v>
      </c>
      <c r="R7" s="47"/>
      <c r="S7" s="267"/>
      <c r="T7" s="48"/>
      <c r="U7" s="48"/>
    </row>
    <row r="8" spans="1:21" s="46" customFormat="1" x14ac:dyDescent="0.25">
      <c r="A8" s="39" t="s">
        <v>245</v>
      </c>
      <c r="B8" s="40" t="s">
        <v>189</v>
      </c>
      <c r="C8" s="41" t="s">
        <v>190</v>
      </c>
      <c r="D8" s="42">
        <v>45078</v>
      </c>
      <c r="E8" s="42">
        <v>45443</v>
      </c>
      <c r="F8" s="42">
        <f>((D8+E8)/2)</f>
        <v>45260.5</v>
      </c>
      <c r="G8" s="112">
        <f>_xlfn.XLOOKUP(F8,'A-6 CMS Market Basket Index '!$AZ$3:$AZ$8,'A-6 CMS Market Basket Index '!$BF$3:$BF$8)</f>
        <v>1.0366</v>
      </c>
      <c r="H8" s="44">
        <v>2409</v>
      </c>
      <c r="I8" s="44">
        <v>43</v>
      </c>
      <c r="J8" s="65">
        <v>56.02</v>
      </c>
      <c r="K8" s="76">
        <f t="shared" si="0"/>
        <v>58.070332000000001</v>
      </c>
      <c r="L8" s="51" t="str">
        <f t="shared" si="1"/>
        <v/>
      </c>
      <c r="M8" s="46" t="s">
        <v>191</v>
      </c>
      <c r="N8" s="46">
        <v>84317</v>
      </c>
      <c r="O8" s="69" t="s">
        <v>224</v>
      </c>
      <c r="P8" s="70" t="s">
        <v>213</v>
      </c>
      <c r="R8" s="47"/>
      <c r="S8" s="267"/>
      <c r="T8" s="48"/>
      <c r="U8" s="48"/>
    </row>
    <row r="9" spans="1:21" s="46" customFormat="1" x14ac:dyDescent="0.25">
      <c r="A9" s="39" t="s">
        <v>245</v>
      </c>
      <c r="B9" s="40" t="s">
        <v>69</v>
      </c>
      <c r="C9" s="41" t="s">
        <v>70</v>
      </c>
      <c r="D9" s="42">
        <v>44927</v>
      </c>
      <c r="E9" s="42">
        <v>45291</v>
      </c>
      <c r="F9" s="42">
        <f t="shared" ref="F9:F19" si="2">((D9+E9)/2)-2</f>
        <v>45107</v>
      </c>
      <c r="G9" s="112">
        <f>_xlfn.XLOOKUP(F9,'A-6 CMS Market Basket Index '!$AZ$3:$AZ$8,'A-6 CMS Market Basket Index '!$BF$3:$BF$8)</f>
        <v>1.0538000000000001</v>
      </c>
      <c r="H9" s="44">
        <v>6955</v>
      </c>
      <c r="I9" s="44">
        <v>116</v>
      </c>
      <c r="J9" s="65">
        <v>59.96</v>
      </c>
      <c r="K9" s="76">
        <f t="shared" si="0"/>
        <v>63.185848000000007</v>
      </c>
      <c r="L9" s="51" t="str">
        <f t="shared" si="1"/>
        <v/>
      </c>
      <c r="M9" s="46" t="s">
        <v>48</v>
      </c>
      <c r="N9" s="46">
        <v>84123</v>
      </c>
      <c r="O9" s="69" t="s">
        <v>218</v>
      </c>
      <c r="P9" s="70" t="s">
        <v>209</v>
      </c>
      <c r="R9" s="47"/>
      <c r="S9" s="267"/>
      <c r="T9" s="48"/>
      <c r="U9" s="48"/>
    </row>
    <row r="10" spans="1:21" s="46" customFormat="1" x14ac:dyDescent="0.25">
      <c r="A10" s="39" t="s">
        <v>245</v>
      </c>
      <c r="B10" s="40" t="s">
        <v>185</v>
      </c>
      <c r="C10" s="41" t="s">
        <v>186</v>
      </c>
      <c r="D10" s="42">
        <v>44927</v>
      </c>
      <c r="E10" s="42">
        <v>45291</v>
      </c>
      <c r="F10" s="42">
        <f t="shared" si="2"/>
        <v>45107</v>
      </c>
      <c r="G10" s="112">
        <f>_xlfn.XLOOKUP(F10,'A-6 CMS Market Basket Index '!$AZ$3:$AZ$8,'A-6 CMS Market Basket Index '!$BF$3:$BF$8)</f>
        <v>1.0538000000000001</v>
      </c>
      <c r="H10" s="44">
        <v>22888</v>
      </c>
      <c r="I10" s="44">
        <v>318</v>
      </c>
      <c r="J10" s="65">
        <v>71.97</v>
      </c>
      <c r="K10" s="76">
        <f t="shared" si="0"/>
        <v>75.841986000000006</v>
      </c>
      <c r="L10" s="51" t="str">
        <f t="shared" si="1"/>
        <v/>
      </c>
      <c r="M10" s="46" t="s">
        <v>39</v>
      </c>
      <c r="N10" s="46">
        <v>84041</v>
      </c>
      <c r="O10" s="69" t="s">
        <v>212</v>
      </c>
      <c r="P10" s="70" t="s">
        <v>213</v>
      </c>
      <c r="R10" s="47"/>
      <c r="S10" s="267"/>
      <c r="T10" s="48"/>
      <c r="U10" s="48"/>
    </row>
    <row r="11" spans="1:21" s="46" customFormat="1" x14ac:dyDescent="0.25">
      <c r="A11" s="39" t="s">
        <v>245</v>
      </c>
      <c r="B11" s="40" t="s">
        <v>140</v>
      </c>
      <c r="C11" s="41" t="s">
        <v>141</v>
      </c>
      <c r="D11" s="42">
        <v>44927</v>
      </c>
      <c r="E11" s="42">
        <v>45291</v>
      </c>
      <c r="F11" s="42">
        <f t="shared" si="2"/>
        <v>45107</v>
      </c>
      <c r="G11" s="112">
        <f>_xlfn.XLOOKUP(F11,'A-6 CMS Market Basket Index '!$AZ$3:$AZ$8,'A-6 CMS Market Basket Index '!$BF$3:$BF$8)</f>
        <v>1.0538000000000001</v>
      </c>
      <c r="H11" s="44">
        <v>4550</v>
      </c>
      <c r="I11" s="44">
        <v>61</v>
      </c>
      <c r="J11" s="65">
        <v>74.59</v>
      </c>
      <c r="K11" s="76">
        <f t="shared" si="0"/>
        <v>78.602942000000013</v>
      </c>
      <c r="L11" s="51" t="str">
        <f t="shared" si="1"/>
        <v/>
      </c>
      <c r="M11" s="46" t="s">
        <v>142</v>
      </c>
      <c r="N11" s="46">
        <v>84663</v>
      </c>
      <c r="O11" s="69" t="s">
        <v>15</v>
      </c>
      <c r="P11" s="70" t="s">
        <v>213</v>
      </c>
      <c r="R11" s="47"/>
      <c r="S11" s="267"/>
      <c r="T11" s="48"/>
      <c r="U11" s="48"/>
    </row>
    <row r="12" spans="1:21" s="46" customFormat="1" x14ac:dyDescent="0.25">
      <c r="A12" s="39" t="s">
        <v>245</v>
      </c>
      <c r="B12" s="40" t="s">
        <v>67</v>
      </c>
      <c r="C12" s="41" t="s">
        <v>68</v>
      </c>
      <c r="D12" s="42">
        <v>44927</v>
      </c>
      <c r="E12" s="42">
        <v>45291</v>
      </c>
      <c r="F12" s="42">
        <f t="shared" si="2"/>
        <v>45107</v>
      </c>
      <c r="G12" s="112">
        <f>_xlfn.XLOOKUP(F12,'A-6 CMS Market Basket Index '!$AZ$3:$AZ$8,'A-6 CMS Market Basket Index '!$BF$3:$BF$8)</f>
        <v>1.0538000000000001</v>
      </c>
      <c r="H12" s="44">
        <v>1588</v>
      </c>
      <c r="I12" s="44">
        <v>21</v>
      </c>
      <c r="J12" s="65">
        <v>75.62</v>
      </c>
      <c r="K12" s="76">
        <f t="shared" si="0"/>
        <v>79.688356000000013</v>
      </c>
      <c r="L12" s="51" t="str">
        <f t="shared" si="1"/>
        <v/>
      </c>
      <c r="M12" s="46" t="s">
        <v>52</v>
      </c>
      <c r="N12" s="46">
        <v>84790</v>
      </c>
      <c r="O12" s="69" t="s">
        <v>223</v>
      </c>
      <c r="P12" s="70" t="s">
        <v>209</v>
      </c>
      <c r="R12" s="47"/>
      <c r="S12" s="267"/>
      <c r="T12" s="48"/>
      <c r="U12" s="48"/>
    </row>
    <row r="13" spans="1:21" s="46" customFormat="1" x14ac:dyDescent="0.25">
      <c r="A13" s="39" t="s">
        <v>245</v>
      </c>
      <c r="B13" s="40" t="s">
        <v>179</v>
      </c>
      <c r="C13" s="41" t="s">
        <v>178</v>
      </c>
      <c r="D13" s="42">
        <v>44927</v>
      </c>
      <c r="E13" s="42">
        <v>45291</v>
      </c>
      <c r="F13" s="42">
        <f t="shared" si="2"/>
        <v>45107</v>
      </c>
      <c r="G13" s="112">
        <f>_xlfn.XLOOKUP(F13,'A-6 CMS Market Basket Index '!$AZ$3:$AZ$8,'A-6 CMS Market Basket Index '!$BF$3:$BF$8)</f>
        <v>1.0538000000000001</v>
      </c>
      <c r="H13" s="44">
        <v>4203</v>
      </c>
      <c r="I13" s="44">
        <v>53</v>
      </c>
      <c r="J13" s="65">
        <v>79.3</v>
      </c>
      <c r="K13" s="76">
        <f t="shared" si="0"/>
        <v>83.566339999999997</v>
      </c>
      <c r="L13" s="51" t="str">
        <f t="shared" si="1"/>
        <v/>
      </c>
      <c r="M13" s="46" t="s">
        <v>18</v>
      </c>
      <c r="N13" s="46">
        <v>84107</v>
      </c>
      <c r="O13" s="69" t="s">
        <v>218</v>
      </c>
      <c r="P13" s="70" t="s">
        <v>209</v>
      </c>
      <c r="R13" s="47"/>
      <c r="S13" s="267"/>
      <c r="T13" s="48"/>
      <c r="U13" s="48"/>
    </row>
    <row r="14" spans="1:21" s="46" customFormat="1" x14ac:dyDescent="0.25">
      <c r="A14" s="39" t="s">
        <v>245</v>
      </c>
      <c r="B14" s="40" t="s">
        <v>77</v>
      </c>
      <c r="C14" s="41" t="s">
        <v>75</v>
      </c>
      <c r="D14" s="42">
        <v>44927</v>
      </c>
      <c r="E14" s="42">
        <v>45291</v>
      </c>
      <c r="F14" s="42">
        <f t="shared" si="2"/>
        <v>45107</v>
      </c>
      <c r="G14" s="112">
        <f>_xlfn.XLOOKUP(F14,'A-6 CMS Market Basket Index '!$AZ$3:$AZ$8,'A-6 CMS Market Basket Index '!$BF$3:$BF$8)</f>
        <v>1.0538000000000001</v>
      </c>
      <c r="H14" s="44">
        <v>9171</v>
      </c>
      <c r="I14" s="44">
        <v>112</v>
      </c>
      <c r="J14" s="65">
        <v>81.88</v>
      </c>
      <c r="K14" s="76">
        <f t="shared" si="0"/>
        <v>86.285144000000003</v>
      </c>
      <c r="L14" s="51" t="str">
        <f t="shared" si="1"/>
        <v/>
      </c>
      <c r="M14" s="46" t="s">
        <v>76</v>
      </c>
      <c r="N14" s="46">
        <v>84123</v>
      </c>
      <c r="O14" s="69" t="s">
        <v>218</v>
      </c>
      <c r="P14" s="70" t="s">
        <v>209</v>
      </c>
      <c r="R14" s="47"/>
      <c r="S14" s="267"/>
      <c r="T14" s="48"/>
      <c r="U14" s="48"/>
    </row>
    <row r="15" spans="1:21" s="46" customFormat="1" x14ac:dyDescent="0.25">
      <c r="A15" s="39" t="s">
        <v>245</v>
      </c>
      <c r="B15" s="40" t="s">
        <v>182</v>
      </c>
      <c r="C15" s="41" t="s">
        <v>183</v>
      </c>
      <c r="D15" s="42">
        <v>44927</v>
      </c>
      <c r="E15" s="42">
        <v>45291</v>
      </c>
      <c r="F15" s="42">
        <f t="shared" si="2"/>
        <v>45107</v>
      </c>
      <c r="G15" s="112">
        <f>_xlfn.XLOOKUP(F15,'A-6 CMS Market Basket Index '!$AZ$3:$AZ$8,'A-6 CMS Market Basket Index '!$BF$3:$BF$8)</f>
        <v>1.0538000000000001</v>
      </c>
      <c r="H15" s="44">
        <v>10013</v>
      </c>
      <c r="I15" s="44">
        <v>121</v>
      </c>
      <c r="J15" s="65">
        <v>82.75</v>
      </c>
      <c r="K15" s="76">
        <f t="shared" si="0"/>
        <v>87.201950000000011</v>
      </c>
      <c r="L15" s="51" t="str">
        <f t="shared" si="1"/>
        <v/>
      </c>
      <c r="M15" s="46" t="s">
        <v>48</v>
      </c>
      <c r="N15" s="46">
        <v>84107</v>
      </c>
      <c r="O15" s="69" t="s">
        <v>218</v>
      </c>
      <c r="P15" s="70" t="s">
        <v>209</v>
      </c>
      <c r="R15" s="47"/>
      <c r="S15" s="267"/>
      <c r="T15" s="48"/>
      <c r="U15" s="48"/>
    </row>
    <row r="16" spans="1:21" s="46" customFormat="1" x14ac:dyDescent="0.25">
      <c r="A16" s="39" t="s">
        <v>245</v>
      </c>
      <c r="B16" s="40" t="s">
        <v>81</v>
      </c>
      <c r="C16" s="41" t="s">
        <v>82</v>
      </c>
      <c r="D16" s="42">
        <v>44927</v>
      </c>
      <c r="E16" s="42">
        <v>45291</v>
      </c>
      <c r="F16" s="42">
        <f t="shared" si="2"/>
        <v>45107</v>
      </c>
      <c r="G16" s="112">
        <f>_xlfn.XLOOKUP(F16,'A-6 CMS Market Basket Index '!$AZ$3:$AZ$8,'A-6 CMS Market Basket Index '!$BF$3:$BF$8)</f>
        <v>1.0538000000000001</v>
      </c>
      <c r="H16" s="44">
        <v>77314</v>
      </c>
      <c r="I16" s="44">
        <v>864</v>
      </c>
      <c r="J16" s="65">
        <v>89.48</v>
      </c>
      <c r="K16" s="76">
        <f t="shared" si="0"/>
        <v>94.294024000000007</v>
      </c>
      <c r="L16" s="51" t="str">
        <f t="shared" si="1"/>
        <v/>
      </c>
      <c r="M16" s="46" t="s">
        <v>83</v>
      </c>
      <c r="N16" s="46">
        <v>84041</v>
      </c>
      <c r="O16" s="69" t="s">
        <v>212</v>
      </c>
      <c r="P16" s="70" t="s">
        <v>213</v>
      </c>
      <c r="R16" s="47"/>
      <c r="S16" s="267"/>
      <c r="T16" s="48"/>
      <c r="U16" s="48"/>
    </row>
    <row r="17" spans="1:21" s="46" customFormat="1" x14ac:dyDescent="0.25">
      <c r="A17" s="39" t="s">
        <v>245</v>
      </c>
      <c r="B17" s="40" t="s">
        <v>88</v>
      </c>
      <c r="C17" s="41" t="s">
        <v>89</v>
      </c>
      <c r="D17" s="42">
        <v>44927</v>
      </c>
      <c r="E17" s="42">
        <v>45291</v>
      </c>
      <c r="F17" s="42">
        <f t="shared" si="2"/>
        <v>45107</v>
      </c>
      <c r="G17" s="112">
        <f>_xlfn.XLOOKUP(F17,'A-6 CMS Market Basket Index '!$AZ$3:$AZ$8,'A-6 CMS Market Basket Index '!$BF$3:$BF$8)</f>
        <v>1.0538000000000001</v>
      </c>
      <c r="H17" s="44">
        <v>6893</v>
      </c>
      <c r="I17" s="44">
        <v>75</v>
      </c>
      <c r="J17" s="65">
        <v>91.91</v>
      </c>
      <c r="K17" s="76">
        <f t="shared" si="0"/>
        <v>96.854758000000004</v>
      </c>
      <c r="L17" s="51" t="str">
        <f t="shared" si="1"/>
        <v/>
      </c>
      <c r="M17" s="46" t="s">
        <v>48</v>
      </c>
      <c r="N17" s="46">
        <v>84121</v>
      </c>
      <c r="O17" s="69" t="s">
        <v>218</v>
      </c>
      <c r="P17" s="70" t="s">
        <v>209</v>
      </c>
      <c r="R17" s="47"/>
      <c r="S17" s="267"/>
      <c r="T17" s="48"/>
      <c r="U17" s="48"/>
    </row>
    <row r="18" spans="1:21" s="46" customFormat="1" x14ac:dyDescent="0.25">
      <c r="A18" s="39" t="s">
        <v>245</v>
      </c>
      <c r="B18" s="40" t="s">
        <v>133</v>
      </c>
      <c r="C18" s="41" t="s">
        <v>92</v>
      </c>
      <c r="D18" s="42">
        <v>44927</v>
      </c>
      <c r="E18" s="42">
        <v>45291</v>
      </c>
      <c r="F18" s="42">
        <f t="shared" si="2"/>
        <v>45107</v>
      </c>
      <c r="G18" s="112">
        <f>_xlfn.XLOOKUP(F18,'A-6 CMS Market Basket Index '!$AZ$3:$AZ$8,'A-6 CMS Market Basket Index '!$BF$3:$BF$8)</f>
        <v>1.0538000000000001</v>
      </c>
      <c r="H18" s="44">
        <v>24122</v>
      </c>
      <c r="I18" s="44">
        <v>256</v>
      </c>
      <c r="J18" s="65">
        <v>94.23</v>
      </c>
      <c r="K18" s="76">
        <f t="shared" si="0"/>
        <v>99.299574000000007</v>
      </c>
      <c r="L18" s="51" t="str">
        <f t="shared" si="1"/>
        <v/>
      </c>
      <c r="M18" s="46" t="s">
        <v>52</v>
      </c>
      <c r="N18" s="46">
        <v>84790</v>
      </c>
      <c r="O18" s="69" t="s">
        <v>223</v>
      </c>
      <c r="P18" s="70" t="s">
        <v>209</v>
      </c>
      <c r="R18" s="47"/>
      <c r="S18" s="267"/>
      <c r="T18" s="48"/>
      <c r="U18" s="48"/>
    </row>
    <row r="19" spans="1:21" s="46" customFormat="1" x14ac:dyDescent="0.25">
      <c r="A19" s="39" t="s">
        <v>245</v>
      </c>
      <c r="B19" s="40" t="s">
        <v>71</v>
      </c>
      <c r="C19" s="41" t="s">
        <v>72</v>
      </c>
      <c r="D19" s="42">
        <v>44927</v>
      </c>
      <c r="E19" s="42">
        <v>45291</v>
      </c>
      <c r="F19" s="42">
        <f t="shared" si="2"/>
        <v>45107</v>
      </c>
      <c r="G19" s="112">
        <f>_xlfn.XLOOKUP(F19,'A-6 CMS Market Basket Index '!$AZ$3:$AZ$8,'A-6 CMS Market Basket Index '!$BF$3:$BF$8)</f>
        <v>1.0538000000000001</v>
      </c>
      <c r="H19" s="44">
        <v>15526</v>
      </c>
      <c r="I19" s="44">
        <v>164</v>
      </c>
      <c r="J19" s="65">
        <v>94.67</v>
      </c>
      <c r="K19" s="76">
        <f t="shared" si="0"/>
        <v>99.763246000000009</v>
      </c>
      <c r="L19" s="51" t="str">
        <f t="shared" si="1"/>
        <v/>
      </c>
      <c r="M19" s="46" t="s">
        <v>17</v>
      </c>
      <c r="N19" s="46">
        <v>84057</v>
      </c>
      <c r="O19" s="69" t="s">
        <v>15</v>
      </c>
      <c r="P19" s="70" t="s">
        <v>213</v>
      </c>
      <c r="R19" s="47"/>
      <c r="S19" s="267"/>
      <c r="T19" s="48"/>
      <c r="U19" s="48"/>
    </row>
    <row r="20" spans="1:21" s="46" customFormat="1" x14ac:dyDescent="0.25">
      <c r="A20" s="39" t="s">
        <v>245</v>
      </c>
      <c r="B20" s="40" t="s">
        <v>174</v>
      </c>
      <c r="C20" s="41" t="s">
        <v>164</v>
      </c>
      <c r="D20" s="42">
        <v>44911</v>
      </c>
      <c r="E20" s="42">
        <v>45291</v>
      </c>
      <c r="F20" s="42">
        <f>((D20+E20)/2)+6</f>
        <v>45107</v>
      </c>
      <c r="G20" s="112">
        <f>_xlfn.XLOOKUP(F20,'A-6 CMS Market Basket Index '!$AZ$3:$AZ$8,'A-6 CMS Market Basket Index '!$BF$3:$BF$8)</f>
        <v>1.0538000000000001</v>
      </c>
      <c r="H20" s="44">
        <v>95</v>
      </c>
      <c r="I20" s="44">
        <v>1</v>
      </c>
      <c r="J20" s="65">
        <v>95</v>
      </c>
      <c r="K20" s="76">
        <f t="shared" si="0"/>
        <v>100.111</v>
      </c>
      <c r="L20" s="51"/>
      <c r="M20" s="46" t="s">
        <v>112</v>
      </c>
      <c r="N20" s="46">
        <v>84043</v>
      </c>
      <c r="O20" s="69" t="s">
        <v>15</v>
      </c>
      <c r="P20" s="70" t="s">
        <v>213</v>
      </c>
      <c r="R20" s="47"/>
      <c r="S20" s="267"/>
      <c r="T20" s="48"/>
      <c r="U20" s="48"/>
    </row>
    <row r="21" spans="1:21" s="46" customFormat="1" x14ac:dyDescent="0.25">
      <c r="A21" s="39" t="s">
        <v>245</v>
      </c>
      <c r="B21" s="40" t="s">
        <v>127</v>
      </c>
      <c r="C21" s="41" t="s">
        <v>128</v>
      </c>
      <c r="D21" s="42">
        <v>44927</v>
      </c>
      <c r="E21" s="42">
        <v>45291</v>
      </c>
      <c r="F21" s="42">
        <f t="shared" ref="F21:F57" si="3">((D21+E21)/2)-2</f>
        <v>45107</v>
      </c>
      <c r="G21" s="112">
        <f>_xlfn.XLOOKUP(F21,'A-6 CMS Market Basket Index '!$AZ$3:$AZ$8,'A-6 CMS Market Basket Index '!$BF$3:$BF$8)</f>
        <v>1.0538000000000001</v>
      </c>
      <c r="H21" s="44">
        <v>15186</v>
      </c>
      <c r="I21" s="44">
        <v>157</v>
      </c>
      <c r="J21" s="65">
        <v>96.73</v>
      </c>
      <c r="K21" s="76">
        <f t="shared" si="0"/>
        <v>101.93407400000001</v>
      </c>
      <c r="L21" s="51"/>
      <c r="M21" s="46" t="s">
        <v>129</v>
      </c>
      <c r="N21" s="46">
        <v>84063</v>
      </c>
      <c r="O21" s="69" t="s">
        <v>222</v>
      </c>
      <c r="P21" s="70" t="s">
        <v>209</v>
      </c>
      <c r="R21" s="47"/>
      <c r="S21" s="267"/>
      <c r="T21" s="48"/>
      <c r="U21" s="48"/>
    </row>
    <row r="22" spans="1:21" s="46" customFormat="1" x14ac:dyDescent="0.25">
      <c r="A22" s="39" t="s">
        <v>245</v>
      </c>
      <c r="B22" s="40" t="s">
        <v>109</v>
      </c>
      <c r="C22" s="41" t="s">
        <v>110</v>
      </c>
      <c r="D22" s="42">
        <v>44927</v>
      </c>
      <c r="E22" s="42">
        <v>45291</v>
      </c>
      <c r="F22" s="42">
        <f t="shared" si="3"/>
        <v>45107</v>
      </c>
      <c r="G22" s="112">
        <f>_xlfn.XLOOKUP(F22,'A-6 CMS Market Basket Index '!$AZ$3:$AZ$8,'A-6 CMS Market Basket Index '!$BF$3:$BF$8)</f>
        <v>1.0538000000000001</v>
      </c>
      <c r="H22" s="44">
        <v>878</v>
      </c>
      <c r="I22" s="44">
        <v>9</v>
      </c>
      <c r="J22" s="65">
        <v>97.56</v>
      </c>
      <c r="K22" s="76">
        <f t="shared" si="0"/>
        <v>102.80872800000002</v>
      </c>
      <c r="L22" s="51"/>
      <c r="M22" s="46" t="s">
        <v>44</v>
      </c>
      <c r="N22" s="46">
        <v>84501</v>
      </c>
      <c r="O22" s="69" t="s">
        <v>211</v>
      </c>
      <c r="P22" s="70" t="s">
        <v>209</v>
      </c>
      <c r="R22" s="47"/>
      <c r="S22" s="267"/>
      <c r="T22" s="48"/>
      <c r="U22" s="48"/>
    </row>
    <row r="23" spans="1:21" s="46" customFormat="1" x14ac:dyDescent="0.25">
      <c r="A23" s="39" t="s">
        <v>245</v>
      </c>
      <c r="B23" s="40" t="s">
        <v>63</v>
      </c>
      <c r="C23" s="41" t="s">
        <v>64</v>
      </c>
      <c r="D23" s="42">
        <v>44927</v>
      </c>
      <c r="E23" s="42">
        <v>45291</v>
      </c>
      <c r="F23" s="42">
        <f t="shared" si="3"/>
        <v>45107</v>
      </c>
      <c r="G23" s="112">
        <f>_xlfn.XLOOKUP(F23,'A-6 CMS Market Basket Index '!$AZ$3:$AZ$8,'A-6 CMS Market Basket Index '!$BF$3:$BF$8)</f>
        <v>1.0538000000000001</v>
      </c>
      <c r="H23" s="44">
        <v>8415</v>
      </c>
      <c r="I23" s="44">
        <v>82</v>
      </c>
      <c r="J23" s="65">
        <v>102.62</v>
      </c>
      <c r="K23" s="76">
        <f t="shared" si="0"/>
        <v>108.14095600000002</v>
      </c>
      <c r="L23" s="51"/>
      <c r="M23" s="46" t="s">
        <v>48</v>
      </c>
      <c r="N23" s="46">
        <v>84107</v>
      </c>
      <c r="O23" s="69" t="s">
        <v>218</v>
      </c>
      <c r="P23" s="70" t="s">
        <v>209</v>
      </c>
      <c r="R23" s="47"/>
      <c r="S23" s="267"/>
      <c r="T23" s="48"/>
      <c r="U23" s="48"/>
    </row>
    <row r="24" spans="1:21" s="46" customFormat="1" x14ac:dyDescent="0.25">
      <c r="A24" s="39" t="s">
        <v>245</v>
      </c>
      <c r="B24" s="40" t="s">
        <v>60</v>
      </c>
      <c r="C24" s="41" t="s">
        <v>61</v>
      </c>
      <c r="D24" s="42">
        <v>44927</v>
      </c>
      <c r="E24" s="42">
        <v>45291</v>
      </c>
      <c r="F24" s="42">
        <f t="shared" si="3"/>
        <v>45107</v>
      </c>
      <c r="G24" s="112">
        <f>_xlfn.XLOOKUP(F24,'A-6 CMS Market Basket Index '!$AZ$3:$AZ$8,'A-6 CMS Market Basket Index '!$BF$3:$BF$8)</f>
        <v>1.0538000000000001</v>
      </c>
      <c r="H24" s="44">
        <v>12559</v>
      </c>
      <c r="I24" s="44">
        <v>118</v>
      </c>
      <c r="J24" s="65">
        <v>106.43</v>
      </c>
      <c r="K24" s="76">
        <f t="shared" si="0"/>
        <v>112.15593400000002</v>
      </c>
      <c r="L24" s="51"/>
      <c r="M24" s="46" t="s">
        <v>62</v>
      </c>
      <c r="N24" s="46">
        <v>84790</v>
      </c>
      <c r="O24" s="69" t="s">
        <v>223</v>
      </c>
      <c r="P24" s="70" t="s">
        <v>209</v>
      </c>
      <c r="R24" s="47"/>
      <c r="S24" s="267"/>
      <c r="T24" s="48"/>
      <c r="U24" s="48"/>
    </row>
    <row r="25" spans="1:21" s="46" customFormat="1" x14ac:dyDescent="0.25">
      <c r="A25" s="39" t="s">
        <v>245</v>
      </c>
      <c r="B25" s="40" t="s">
        <v>145</v>
      </c>
      <c r="C25" s="41" t="s">
        <v>146</v>
      </c>
      <c r="D25" s="42">
        <v>44927</v>
      </c>
      <c r="E25" s="42">
        <v>45291</v>
      </c>
      <c r="F25" s="42">
        <f t="shared" si="3"/>
        <v>45107</v>
      </c>
      <c r="G25" s="112">
        <f>_xlfn.XLOOKUP(F25,'A-6 CMS Market Basket Index '!$AZ$3:$AZ$8,'A-6 CMS Market Basket Index '!$BF$3:$BF$8)</f>
        <v>1.0538000000000001</v>
      </c>
      <c r="H25" s="44">
        <v>3746</v>
      </c>
      <c r="I25" s="44">
        <v>35</v>
      </c>
      <c r="J25" s="65">
        <v>107.03</v>
      </c>
      <c r="K25" s="76">
        <f t="shared" si="0"/>
        <v>112.78821400000001</v>
      </c>
      <c r="L25" s="51"/>
      <c r="M25" s="46" t="s">
        <v>41</v>
      </c>
      <c r="N25" s="46">
        <v>84647</v>
      </c>
      <c r="O25" s="69" t="s">
        <v>220</v>
      </c>
      <c r="P25" s="70" t="s">
        <v>209</v>
      </c>
      <c r="R25" s="47"/>
      <c r="S25" s="267"/>
      <c r="T25" s="48"/>
      <c r="U25" s="48"/>
    </row>
    <row r="26" spans="1:21" s="46" customFormat="1" x14ac:dyDescent="0.25">
      <c r="A26" s="39" t="s">
        <v>245</v>
      </c>
      <c r="B26" s="40" t="s">
        <v>136</v>
      </c>
      <c r="C26" s="41" t="s">
        <v>137</v>
      </c>
      <c r="D26" s="42">
        <v>44927</v>
      </c>
      <c r="E26" s="42">
        <v>45291</v>
      </c>
      <c r="F26" s="42">
        <f t="shared" si="3"/>
        <v>45107</v>
      </c>
      <c r="G26" s="112">
        <f>_xlfn.XLOOKUP(F26,'A-6 CMS Market Basket Index '!$AZ$3:$AZ$8,'A-6 CMS Market Basket Index '!$BF$3:$BF$8)</f>
        <v>1.0538000000000001</v>
      </c>
      <c r="H26" s="44">
        <v>2711</v>
      </c>
      <c r="I26" s="44">
        <v>24</v>
      </c>
      <c r="J26" s="65">
        <v>112.96</v>
      </c>
      <c r="K26" s="76">
        <f t="shared" si="0"/>
        <v>119.03724800000001</v>
      </c>
      <c r="L26" s="51"/>
      <c r="M26" s="46" t="s">
        <v>48</v>
      </c>
      <c r="N26" s="46">
        <v>84106</v>
      </c>
      <c r="O26" s="69" t="s">
        <v>218</v>
      </c>
      <c r="P26" s="70" t="s">
        <v>209</v>
      </c>
      <c r="R26" s="47"/>
      <c r="S26" s="267"/>
      <c r="T26" s="48"/>
      <c r="U26" s="48"/>
    </row>
    <row r="27" spans="1:21" s="46" customFormat="1" x14ac:dyDescent="0.25">
      <c r="A27" s="39" t="s">
        <v>245</v>
      </c>
      <c r="B27" s="40" t="s">
        <v>132</v>
      </c>
      <c r="C27" s="41" t="s">
        <v>91</v>
      </c>
      <c r="D27" s="42">
        <v>44927</v>
      </c>
      <c r="E27" s="42">
        <v>45291</v>
      </c>
      <c r="F27" s="42">
        <f t="shared" si="3"/>
        <v>45107</v>
      </c>
      <c r="G27" s="112">
        <f>_xlfn.XLOOKUP(F27,'A-6 CMS Market Basket Index '!$AZ$3:$AZ$8,'A-6 CMS Market Basket Index '!$BF$3:$BF$8)</f>
        <v>1.0538000000000001</v>
      </c>
      <c r="H27" s="44">
        <v>345538</v>
      </c>
      <c r="I27" s="44">
        <v>3003</v>
      </c>
      <c r="J27" s="65">
        <v>115.06</v>
      </c>
      <c r="K27" s="76">
        <f t="shared" si="0"/>
        <v>121.25022800000001</v>
      </c>
      <c r="L27" s="51"/>
      <c r="M27" s="46" t="s">
        <v>48</v>
      </c>
      <c r="N27" s="46">
        <v>84107</v>
      </c>
      <c r="O27" s="69" t="s">
        <v>218</v>
      </c>
      <c r="P27" s="70" t="s">
        <v>209</v>
      </c>
      <c r="R27" s="47"/>
      <c r="S27" s="267"/>
      <c r="T27" s="48"/>
      <c r="U27" s="48"/>
    </row>
    <row r="28" spans="1:21" s="46" customFormat="1" x14ac:dyDescent="0.25">
      <c r="A28" s="39" t="s">
        <v>245</v>
      </c>
      <c r="B28" s="40" t="s">
        <v>147</v>
      </c>
      <c r="C28" s="41" t="s">
        <v>148</v>
      </c>
      <c r="D28" s="42">
        <v>44927</v>
      </c>
      <c r="E28" s="42">
        <v>45291</v>
      </c>
      <c r="F28" s="42">
        <f t="shared" si="3"/>
        <v>45107</v>
      </c>
      <c r="G28" s="112">
        <f>_xlfn.XLOOKUP(F28,'A-6 CMS Market Basket Index '!$AZ$3:$AZ$8,'A-6 CMS Market Basket Index '!$BF$3:$BF$8)</f>
        <v>1.0538000000000001</v>
      </c>
      <c r="H28" s="44">
        <v>463</v>
      </c>
      <c r="I28" s="44">
        <v>4</v>
      </c>
      <c r="J28" s="65">
        <v>115.75</v>
      </c>
      <c r="K28" s="76">
        <f t="shared" si="0"/>
        <v>121.97735</v>
      </c>
      <c r="L28" s="51"/>
      <c r="M28" s="46" t="s">
        <v>149</v>
      </c>
      <c r="N28" s="46">
        <v>84414</v>
      </c>
      <c r="O28" s="69" t="s">
        <v>224</v>
      </c>
      <c r="P28" s="70" t="s">
        <v>213</v>
      </c>
      <c r="R28" s="47"/>
      <c r="S28" s="267"/>
      <c r="T28" s="48"/>
      <c r="U28" s="48"/>
    </row>
    <row r="29" spans="1:21" s="46" customFormat="1" x14ac:dyDescent="0.25">
      <c r="A29" s="39" t="s">
        <v>245</v>
      </c>
      <c r="B29" s="40" t="s">
        <v>187</v>
      </c>
      <c r="C29" s="41" t="s">
        <v>188</v>
      </c>
      <c r="D29" s="42">
        <v>44927</v>
      </c>
      <c r="E29" s="42">
        <v>45291</v>
      </c>
      <c r="F29" s="42">
        <f t="shared" si="3"/>
        <v>45107</v>
      </c>
      <c r="G29" s="112">
        <f>_xlfn.XLOOKUP(F29,'A-6 CMS Market Basket Index '!$AZ$3:$AZ$8,'A-6 CMS Market Basket Index '!$BF$3:$BF$8)</f>
        <v>1.0538000000000001</v>
      </c>
      <c r="H29" s="44">
        <v>5085</v>
      </c>
      <c r="I29" s="44">
        <v>43</v>
      </c>
      <c r="J29" s="65">
        <v>118.26</v>
      </c>
      <c r="K29" s="76">
        <f t="shared" si="0"/>
        <v>124.62238800000002</v>
      </c>
      <c r="L29" s="51"/>
      <c r="M29" s="46" t="s">
        <v>18</v>
      </c>
      <c r="N29" s="46">
        <v>84105</v>
      </c>
      <c r="O29" s="69" t="s">
        <v>218</v>
      </c>
      <c r="P29" s="70" t="s">
        <v>209</v>
      </c>
      <c r="R29" s="47"/>
      <c r="S29" s="267"/>
      <c r="T29" s="48"/>
      <c r="U29" s="48"/>
    </row>
    <row r="30" spans="1:21" s="46" customFormat="1" x14ac:dyDescent="0.25">
      <c r="A30" s="39" t="s">
        <v>245</v>
      </c>
      <c r="B30" s="40" t="s">
        <v>180</v>
      </c>
      <c r="C30" s="41" t="s">
        <v>181</v>
      </c>
      <c r="D30" s="42">
        <v>44927</v>
      </c>
      <c r="E30" s="42">
        <v>45291</v>
      </c>
      <c r="F30" s="42">
        <f t="shared" si="3"/>
        <v>45107</v>
      </c>
      <c r="G30" s="112">
        <f>_xlfn.XLOOKUP(F30,'A-6 CMS Market Basket Index '!$AZ$3:$AZ$8,'A-6 CMS Market Basket Index '!$BF$3:$BF$8)</f>
        <v>1.0538000000000001</v>
      </c>
      <c r="H30" s="44">
        <v>33948</v>
      </c>
      <c r="I30" s="44">
        <v>284</v>
      </c>
      <c r="J30" s="65">
        <v>119.54</v>
      </c>
      <c r="K30" s="76">
        <f t="shared" si="0"/>
        <v>125.97125200000002</v>
      </c>
      <c r="L30" s="51"/>
      <c r="M30" s="46" t="s">
        <v>62</v>
      </c>
      <c r="N30" s="46">
        <v>84770</v>
      </c>
      <c r="O30" s="69" t="s">
        <v>223</v>
      </c>
      <c r="P30" s="70" t="s">
        <v>209</v>
      </c>
      <c r="R30" s="47"/>
      <c r="S30" s="267"/>
      <c r="T30" s="48"/>
      <c r="U30" s="48"/>
    </row>
    <row r="31" spans="1:21" s="46" customFormat="1" x14ac:dyDescent="0.25">
      <c r="A31" s="39" t="s">
        <v>245</v>
      </c>
      <c r="B31" s="40" t="s">
        <v>65</v>
      </c>
      <c r="C31" s="41" t="s">
        <v>66</v>
      </c>
      <c r="D31" s="42">
        <v>44927</v>
      </c>
      <c r="E31" s="42">
        <v>45291</v>
      </c>
      <c r="F31" s="42">
        <f t="shared" si="3"/>
        <v>45107</v>
      </c>
      <c r="G31" s="112">
        <f>_xlfn.XLOOKUP(F31,'A-6 CMS Market Basket Index '!$AZ$3:$AZ$8,'A-6 CMS Market Basket Index '!$BF$3:$BF$8)</f>
        <v>1.0538000000000001</v>
      </c>
      <c r="H31" s="44">
        <v>3177</v>
      </c>
      <c r="I31" s="44">
        <v>26</v>
      </c>
      <c r="J31" s="65">
        <v>122.19</v>
      </c>
      <c r="K31" s="76">
        <f t="shared" si="0"/>
        <v>128.763822</v>
      </c>
      <c r="L31" s="51"/>
      <c r="M31" s="46" t="s">
        <v>39</v>
      </c>
      <c r="N31" s="46">
        <v>84041</v>
      </c>
      <c r="O31" s="69" t="s">
        <v>212</v>
      </c>
      <c r="P31" s="70" t="s">
        <v>213</v>
      </c>
      <c r="R31" s="47"/>
      <c r="S31" s="267"/>
      <c r="T31" s="48"/>
      <c r="U31" s="48"/>
    </row>
    <row r="32" spans="1:21" s="46" customFormat="1" x14ac:dyDescent="0.25">
      <c r="A32" s="39" t="s">
        <v>245</v>
      </c>
      <c r="B32" s="40" t="s">
        <v>165</v>
      </c>
      <c r="C32" s="41" t="s">
        <v>166</v>
      </c>
      <c r="D32" s="42">
        <v>44927</v>
      </c>
      <c r="E32" s="42">
        <v>45291</v>
      </c>
      <c r="F32" s="42">
        <f t="shared" si="3"/>
        <v>45107</v>
      </c>
      <c r="G32" s="112">
        <f>_xlfn.XLOOKUP(F32,'A-6 CMS Market Basket Index '!$AZ$3:$AZ$8,'A-6 CMS Market Basket Index '!$BF$3:$BF$8)</f>
        <v>1.0538000000000001</v>
      </c>
      <c r="H32" s="44">
        <v>125</v>
      </c>
      <c r="I32" s="44">
        <v>1</v>
      </c>
      <c r="J32" s="65">
        <v>125</v>
      </c>
      <c r="K32" s="76">
        <f t="shared" si="0"/>
        <v>131.72500000000002</v>
      </c>
      <c r="L32" s="51"/>
      <c r="M32" s="46" t="s">
        <v>42</v>
      </c>
      <c r="N32" s="46">
        <v>84093</v>
      </c>
      <c r="O32" s="69" t="s">
        <v>218</v>
      </c>
      <c r="P32" s="70" t="s">
        <v>209</v>
      </c>
      <c r="R32" s="47"/>
      <c r="S32" s="267"/>
      <c r="T32" s="48"/>
      <c r="U32" s="48"/>
    </row>
    <row r="33" spans="1:21" s="46" customFormat="1" x14ac:dyDescent="0.25">
      <c r="A33" s="39" t="s">
        <v>245</v>
      </c>
      <c r="B33" s="40" t="s">
        <v>121</v>
      </c>
      <c r="C33" s="41" t="s">
        <v>122</v>
      </c>
      <c r="D33" s="42">
        <v>44927</v>
      </c>
      <c r="E33" s="42">
        <v>45291</v>
      </c>
      <c r="F33" s="42">
        <f t="shared" si="3"/>
        <v>45107</v>
      </c>
      <c r="G33" s="112">
        <f>_xlfn.XLOOKUP(F33,'A-6 CMS Market Basket Index '!$AZ$3:$AZ$8,'A-6 CMS Market Basket Index '!$BF$3:$BF$8)</f>
        <v>1.0538000000000001</v>
      </c>
      <c r="H33" s="44">
        <v>9588</v>
      </c>
      <c r="I33" s="44">
        <v>72</v>
      </c>
      <c r="J33" s="65">
        <v>133.16999999999999</v>
      </c>
      <c r="K33" s="76">
        <f t="shared" si="0"/>
        <v>140.33454599999999</v>
      </c>
      <c r="L33" s="51"/>
      <c r="M33" s="46" t="s">
        <v>17</v>
      </c>
      <c r="N33" s="46">
        <v>84057</v>
      </c>
      <c r="O33" s="69" t="s">
        <v>15</v>
      </c>
      <c r="P33" s="70" t="s">
        <v>213</v>
      </c>
      <c r="R33" s="47"/>
      <c r="S33" s="267"/>
      <c r="T33" s="48"/>
      <c r="U33" s="48"/>
    </row>
    <row r="34" spans="1:21" s="46" customFormat="1" x14ac:dyDescent="0.25">
      <c r="A34" s="39" t="s">
        <v>245</v>
      </c>
      <c r="B34" s="40" t="s">
        <v>95</v>
      </c>
      <c r="C34" s="41" t="s">
        <v>96</v>
      </c>
      <c r="D34" s="42">
        <v>44927</v>
      </c>
      <c r="E34" s="42">
        <v>45291</v>
      </c>
      <c r="F34" s="42">
        <f t="shared" si="3"/>
        <v>45107</v>
      </c>
      <c r="G34" s="112">
        <f>_xlfn.XLOOKUP(F34,'A-6 CMS Market Basket Index '!$AZ$3:$AZ$8,'A-6 CMS Market Basket Index '!$BF$3:$BF$8)</f>
        <v>1.0538000000000001</v>
      </c>
      <c r="H34" s="44">
        <v>5629</v>
      </c>
      <c r="I34" s="44">
        <v>42</v>
      </c>
      <c r="J34" s="65">
        <v>134.02000000000001</v>
      </c>
      <c r="K34" s="76">
        <f t="shared" si="0"/>
        <v>141.23027600000003</v>
      </c>
      <c r="L34" s="51"/>
      <c r="M34" s="46" t="s">
        <v>97</v>
      </c>
      <c r="N34" s="46">
        <v>84015</v>
      </c>
      <c r="O34" s="69" t="s">
        <v>212</v>
      </c>
      <c r="P34" s="70" t="s">
        <v>213</v>
      </c>
      <c r="R34" s="47"/>
      <c r="S34" s="267"/>
      <c r="T34" s="48"/>
      <c r="U34" s="48"/>
    </row>
    <row r="35" spans="1:21" s="46" customFormat="1" x14ac:dyDescent="0.25">
      <c r="A35" s="39" t="s">
        <v>245</v>
      </c>
      <c r="B35" s="40" t="s">
        <v>200</v>
      </c>
      <c r="C35" s="41" t="s">
        <v>198</v>
      </c>
      <c r="D35" s="42">
        <v>44927</v>
      </c>
      <c r="E35" s="42">
        <v>45291</v>
      </c>
      <c r="F35" s="42">
        <f t="shared" si="3"/>
        <v>45107</v>
      </c>
      <c r="G35" s="112">
        <f>_xlfn.XLOOKUP(F35,'A-6 CMS Market Basket Index '!$AZ$3:$AZ$8,'A-6 CMS Market Basket Index '!$BF$3:$BF$8)</f>
        <v>1.0538000000000001</v>
      </c>
      <c r="H35" s="44">
        <v>2988</v>
      </c>
      <c r="I35" s="44">
        <v>22</v>
      </c>
      <c r="J35" s="65">
        <v>135.82</v>
      </c>
      <c r="K35" s="76">
        <f t="shared" si="0"/>
        <v>143.127116</v>
      </c>
      <c r="L35" s="51"/>
      <c r="M35" s="46" t="s">
        <v>199</v>
      </c>
      <c r="N35" s="46">
        <v>84780</v>
      </c>
      <c r="O35" s="69" t="s">
        <v>223</v>
      </c>
      <c r="P35" s="70" t="s">
        <v>209</v>
      </c>
      <c r="R35" s="47"/>
      <c r="S35" s="267"/>
      <c r="T35" s="48"/>
      <c r="U35" s="48"/>
    </row>
    <row r="36" spans="1:21" s="46" customFormat="1" x14ac:dyDescent="0.25">
      <c r="A36" s="39" t="s">
        <v>245</v>
      </c>
      <c r="B36" s="40" t="s">
        <v>162</v>
      </c>
      <c r="C36" s="41" t="s">
        <v>163</v>
      </c>
      <c r="D36" s="42">
        <v>44927</v>
      </c>
      <c r="E36" s="42">
        <v>45291</v>
      </c>
      <c r="F36" s="42">
        <f t="shared" si="3"/>
        <v>45107</v>
      </c>
      <c r="G36" s="112">
        <f>_xlfn.XLOOKUP(F36,'A-6 CMS Market Basket Index '!$AZ$3:$AZ$8,'A-6 CMS Market Basket Index '!$BF$3:$BF$8)</f>
        <v>1.0538000000000001</v>
      </c>
      <c r="H36" s="44">
        <v>6703</v>
      </c>
      <c r="I36" s="44">
        <v>48</v>
      </c>
      <c r="J36" s="65">
        <v>139.65</v>
      </c>
      <c r="K36" s="76">
        <f t="shared" si="0"/>
        <v>147.16317000000001</v>
      </c>
      <c r="L36" s="51"/>
      <c r="M36" s="46" t="s">
        <v>51</v>
      </c>
      <c r="N36" s="46">
        <v>84720</v>
      </c>
      <c r="O36" s="69" t="s">
        <v>216</v>
      </c>
      <c r="P36" s="70" t="s">
        <v>209</v>
      </c>
      <c r="R36" s="47"/>
      <c r="S36" s="267"/>
      <c r="T36" s="48"/>
      <c r="U36" s="48"/>
    </row>
    <row r="37" spans="1:21" s="46" customFormat="1" x14ac:dyDescent="0.25">
      <c r="A37" s="39" t="s">
        <v>245</v>
      </c>
      <c r="B37" s="40" t="s">
        <v>138</v>
      </c>
      <c r="C37" s="41" t="s">
        <v>139</v>
      </c>
      <c r="D37" s="42">
        <v>44927</v>
      </c>
      <c r="E37" s="42">
        <v>45291</v>
      </c>
      <c r="F37" s="42">
        <f t="shared" si="3"/>
        <v>45107</v>
      </c>
      <c r="G37" s="112">
        <f>_xlfn.XLOOKUP(F37,'A-6 CMS Market Basket Index '!$AZ$3:$AZ$8,'A-6 CMS Market Basket Index '!$BF$3:$BF$8)</f>
        <v>1.0538000000000001</v>
      </c>
      <c r="H37" s="44">
        <v>6897</v>
      </c>
      <c r="I37" s="44">
        <v>49</v>
      </c>
      <c r="J37" s="65">
        <v>140.76</v>
      </c>
      <c r="K37" s="76">
        <f t="shared" si="0"/>
        <v>148.332888</v>
      </c>
      <c r="L37" s="51"/>
      <c r="M37" s="46" t="s">
        <v>51</v>
      </c>
      <c r="N37" s="46">
        <v>84721</v>
      </c>
      <c r="O37" s="69" t="s">
        <v>216</v>
      </c>
      <c r="P37" s="70" t="s">
        <v>209</v>
      </c>
      <c r="R37" s="47"/>
      <c r="S37" s="267"/>
      <c r="T37" s="48"/>
      <c r="U37" s="48"/>
    </row>
    <row r="38" spans="1:21" s="46" customFormat="1" x14ac:dyDescent="0.25">
      <c r="A38" s="39" t="s">
        <v>245</v>
      </c>
      <c r="B38" s="40" t="s">
        <v>74</v>
      </c>
      <c r="C38" s="41" t="s">
        <v>73</v>
      </c>
      <c r="D38" s="42">
        <v>44927</v>
      </c>
      <c r="E38" s="42">
        <v>45291</v>
      </c>
      <c r="F38" s="42">
        <f t="shared" si="3"/>
        <v>45107</v>
      </c>
      <c r="G38" s="112">
        <f>_xlfn.XLOOKUP(F38,'A-6 CMS Market Basket Index '!$AZ$3:$AZ$8,'A-6 CMS Market Basket Index '!$BF$3:$BF$8)</f>
        <v>1.0538000000000001</v>
      </c>
      <c r="H38" s="44">
        <v>74817</v>
      </c>
      <c r="I38" s="44">
        <v>521</v>
      </c>
      <c r="J38" s="65">
        <v>143.6</v>
      </c>
      <c r="K38" s="76">
        <f t="shared" ref="K38:K69" si="4">IF(J38="","",J38*$G38)</f>
        <v>151.32568000000001</v>
      </c>
      <c r="L38" s="51"/>
      <c r="M38" s="46" t="s">
        <v>40</v>
      </c>
      <c r="N38" s="46">
        <v>84405</v>
      </c>
      <c r="O38" s="69" t="s">
        <v>224</v>
      </c>
      <c r="P38" s="70" t="s">
        <v>213</v>
      </c>
      <c r="R38" s="47"/>
      <c r="S38" s="267"/>
      <c r="T38" s="48"/>
      <c r="U38" s="48"/>
    </row>
    <row r="39" spans="1:21" s="46" customFormat="1" x14ac:dyDescent="0.25">
      <c r="A39" s="39" t="s">
        <v>245</v>
      </c>
      <c r="B39" s="40" t="s">
        <v>105</v>
      </c>
      <c r="C39" s="41" t="s">
        <v>106</v>
      </c>
      <c r="D39" s="42">
        <v>44927</v>
      </c>
      <c r="E39" s="42">
        <v>45291</v>
      </c>
      <c r="F39" s="42">
        <f t="shared" si="3"/>
        <v>45107</v>
      </c>
      <c r="G39" s="112">
        <f>_xlfn.XLOOKUP(F39,'A-6 CMS Market Basket Index '!$AZ$3:$AZ$8,'A-6 CMS Market Basket Index '!$BF$3:$BF$8)</f>
        <v>1.0538000000000001</v>
      </c>
      <c r="H39" s="44">
        <v>5257</v>
      </c>
      <c r="I39" s="44">
        <v>36</v>
      </c>
      <c r="J39" s="65">
        <v>146.03</v>
      </c>
      <c r="K39" s="76">
        <f t="shared" si="4"/>
        <v>153.886414</v>
      </c>
      <c r="L39" s="51"/>
      <c r="M39" s="46" t="s">
        <v>49</v>
      </c>
      <c r="N39" s="46">
        <v>84003</v>
      </c>
      <c r="O39" s="69" t="s">
        <v>15</v>
      </c>
      <c r="P39" s="70" t="s">
        <v>213</v>
      </c>
      <c r="R39" s="47"/>
      <c r="S39" s="267"/>
      <c r="T39" s="48"/>
      <c r="U39" s="48"/>
    </row>
    <row r="40" spans="1:21" s="46" customFormat="1" x14ac:dyDescent="0.25">
      <c r="A40" s="39" t="s">
        <v>245</v>
      </c>
      <c r="B40" s="40" t="s">
        <v>119</v>
      </c>
      <c r="C40" s="41" t="s">
        <v>120</v>
      </c>
      <c r="D40" s="42">
        <v>44927</v>
      </c>
      <c r="E40" s="42">
        <v>45291</v>
      </c>
      <c r="F40" s="42">
        <f t="shared" si="3"/>
        <v>45107</v>
      </c>
      <c r="G40" s="112">
        <f>_xlfn.XLOOKUP(F40,'A-6 CMS Market Basket Index '!$AZ$3:$AZ$8,'A-6 CMS Market Basket Index '!$BF$3:$BF$8)</f>
        <v>1.0538000000000001</v>
      </c>
      <c r="H40" s="44">
        <v>94534</v>
      </c>
      <c r="I40" s="44">
        <v>646</v>
      </c>
      <c r="J40" s="65">
        <v>146.34</v>
      </c>
      <c r="K40" s="76">
        <f t="shared" si="4"/>
        <v>154.21309200000002</v>
      </c>
      <c r="L40" s="51"/>
      <c r="M40" s="46" t="s">
        <v>104</v>
      </c>
      <c r="N40" s="46">
        <v>84119</v>
      </c>
      <c r="O40" s="69" t="s">
        <v>218</v>
      </c>
      <c r="P40" s="70" t="s">
        <v>209</v>
      </c>
      <c r="R40" s="47"/>
      <c r="S40" s="267"/>
      <c r="T40" s="48"/>
      <c r="U40" s="48"/>
    </row>
    <row r="41" spans="1:21" s="46" customFormat="1" x14ac:dyDescent="0.25">
      <c r="A41" s="39" t="s">
        <v>245</v>
      </c>
      <c r="B41" s="40" t="s">
        <v>56</v>
      </c>
      <c r="C41" s="41" t="s">
        <v>184</v>
      </c>
      <c r="D41" s="42">
        <v>44927</v>
      </c>
      <c r="E41" s="42">
        <v>45291</v>
      </c>
      <c r="F41" s="42">
        <f t="shared" si="3"/>
        <v>45107</v>
      </c>
      <c r="G41" s="112">
        <f>_xlfn.XLOOKUP(F41,'A-6 CMS Market Basket Index '!$AZ$3:$AZ$8,'A-6 CMS Market Basket Index '!$BF$3:$BF$8)</f>
        <v>1.0538000000000001</v>
      </c>
      <c r="H41" s="44">
        <v>101407</v>
      </c>
      <c r="I41" s="44">
        <v>689</v>
      </c>
      <c r="J41" s="65">
        <v>147.18</v>
      </c>
      <c r="K41" s="76">
        <f t="shared" si="4"/>
        <v>155.09828400000001</v>
      </c>
      <c r="L41" s="51"/>
      <c r="M41" s="46" t="s">
        <v>16</v>
      </c>
      <c r="N41" s="46">
        <v>84010</v>
      </c>
      <c r="O41" s="69" t="s">
        <v>212</v>
      </c>
      <c r="P41" s="70" t="s">
        <v>213</v>
      </c>
      <c r="R41" s="47"/>
      <c r="S41" s="267"/>
      <c r="T41" s="48"/>
      <c r="U41" s="48"/>
    </row>
    <row r="42" spans="1:21" s="46" customFormat="1" x14ac:dyDescent="0.25">
      <c r="A42" s="39" t="s">
        <v>245</v>
      </c>
      <c r="B42" s="40" t="s">
        <v>111</v>
      </c>
      <c r="C42" s="41" t="s">
        <v>90</v>
      </c>
      <c r="D42" s="42">
        <v>44927</v>
      </c>
      <c r="E42" s="42">
        <v>45291</v>
      </c>
      <c r="F42" s="42">
        <f t="shared" si="3"/>
        <v>45107</v>
      </c>
      <c r="G42" s="112">
        <f>_xlfn.XLOOKUP(F42,'A-6 CMS Market Basket Index '!$AZ$3:$AZ$8,'A-6 CMS Market Basket Index '!$BF$3:$BF$8)</f>
        <v>1.0538000000000001</v>
      </c>
      <c r="H42" s="44">
        <v>12546</v>
      </c>
      <c r="I42" s="44">
        <v>85</v>
      </c>
      <c r="J42" s="65">
        <v>147.6</v>
      </c>
      <c r="K42" s="76">
        <f t="shared" si="4"/>
        <v>155.54088000000002</v>
      </c>
      <c r="L42" s="51"/>
      <c r="M42" s="46" t="s">
        <v>45</v>
      </c>
      <c r="N42" s="46">
        <v>84020</v>
      </c>
      <c r="O42" s="69" t="s">
        <v>218</v>
      </c>
      <c r="P42" s="70" t="s">
        <v>209</v>
      </c>
      <c r="R42" s="47"/>
      <c r="S42" s="267"/>
      <c r="T42" s="48"/>
      <c r="U42" s="48"/>
    </row>
    <row r="43" spans="1:21" s="46" customFormat="1" x14ac:dyDescent="0.25">
      <c r="A43" s="39" t="s">
        <v>245</v>
      </c>
      <c r="B43" s="40" t="s">
        <v>117</v>
      </c>
      <c r="C43" s="41" t="s">
        <v>118</v>
      </c>
      <c r="D43" s="42">
        <v>44927</v>
      </c>
      <c r="E43" s="42">
        <v>45291</v>
      </c>
      <c r="F43" s="42">
        <f t="shared" si="3"/>
        <v>45107</v>
      </c>
      <c r="G43" s="112">
        <f>_xlfn.XLOOKUP(F43,'A-6 CMS Market Basket Index '!$AZ$3:$AZ$8,'A-6 CMS Market Basket Index '!$BF$3:$BF$8)</f>
        <v>1.0538000000000001</v>
      </c>
      <c r="H43" s="44">
        <v>11649</v>
      </c>
      <c r="I43" s="44">
        <v>78</v>
      </c>
      <c r="J43" s="65">
        <v>149.35</v>
      </c>
      <c r="K43" s="76">
        <f t="shared" si="4"/>
        <v>157.38503</v>
      </c>
      <c r="L43" s="51"/>
      <c r="M43" s="46" t="s">
        <v>17</v>
      </c>
      <c r="N43" s="46">
        <v>84057</v>
      </c>
      <c r="O43" s="69" t="s">
        <v>15</v>
      </c>
      <c r="P43" s="70" t="s">
        <v>213</v>
      </c>
      <c r="R43" s="47"/>
      <c r="S43" s="267"/>
      <c r="T43" s="48"/>
      <c r="U43" s="48"/>
    </row>
    <row r="44" spans="1:21" s="46" customFormat="1" x14ac:dyDescent="0.25">
      <c r="A44" s="39" t="s">
        <v>245</v>
      </c>
      <c r="B44" s="40" t="s">
        <v>151</v>
      </c>
      <c r="C44" s="41" t="s">
        <v>150</v>
      </c>
      <c r="D44" s="42">
        <v>44927</v>
      </c>
      <c r="E44" s="42">
        <v>45291</v>
      </c>
      <c r="F44" s="42">
        <f t="shared" si="3"/>
        <v>45107</v>
      </c>
      <c r="G44" s="112">
        <f>_xlfn.XLOOKUP(F44,'A-6 CMS Market Basket Index '!$AZ$3:$AZ$8,'A-6 CMS Market Basket Index '!$BF$3:$BF$8)</f>
        <v>1.0538000000000001</v>
      </c>
      <c r="H44" s="44">
        <v>88751</v>
      </c>
      <c r="I44" s="44">
        <v>586</v>
      </c>
      <c r="J44" s="65">
        <v>151.44999999999999</v>
      </c>
      <c r="K44" s="76">
        <f t="shared" si="4"/>
        <v>159.59800999999999</v>
      </c>
      <c r="L44" s="51"/>
      <c r="M44" s="46" t="s">
        <v>97</v>
      </c>
      <c r="N44" s="46">
        <v>84015</v>
      </c>
      <c r="O44" s="69" t="s">
        <v>212</v>
      </c>
      <c r="P44" s="70" t="s">
        <v>213</v>
      </c>
      <c r="R44" s="47"/>
      <c r="S44" s="267"/>
      <c r="T44" s="48"/>
      <c r="U44" s="48"/>
    </row>
    <row r="45" spans="1:21" s="46" customFormat="1" x14ac:dyDescent="0.25">
      <c r="A45" s="39" t="s">
        <v>245</v>
      </c>
      <c r="B45" s="40" t="s">
        <v>107</v>
      </c>
      <c r="C45" s="41" t="s">
        <v>108</v>
      </c>
      <c r="D45" s="42">
        <v>44927</v>
      </c>
      <c r="E45" s="42">
        <v>45291</v>
      </c>
      <c r="F45" s="42">
        <f t="shared" si="3"/>
        <v>45107</v>
      </c>
      <c r="G45" s="112">
        <f>_xlfn.XLOOKUP(F45,'A-6 CMS Market Basket Index '!$AZ$3:$AZ$8,'A-6 CMS Market Basket Index '!$BF$3:$BF$8)</f>
        <v>1.0538000000000001</v>
      </c>
      <c r="H45" s="44">
        <v>13403</v>
      </c>
      <c r="I45" s="44">
        <v>88</v>
      </c>
      <c r="J45" s="65">
        <v>152.31</v>
      </c>
      <c r="K45" s="76">
        <f t="shared" si="4"/>
        <v>160.504278</v>
      </c>
      <c r="L45" s="51"/>
      <c r="M45" s="46" t="s">
        <v>62</v>
      </c>
      <c r="N45" s="46">
        <v>84790</v>
      </c>
      <c r="O45" s="69" t="s">
        <v>223</v>
      </c>
      <c r="P45" s="70" t="s">
        <v>209</v>
      </c>
      <c r="R45" s="47"/>
      <c r="S45" s="267"/>
      <c r="T45" s="48"/>
      <c r="U45" s="48"/>
    </row>
    <row r="46" spans="1:21" s="46" customFormat="1" x14ac:dyDescent="0.25">
      <c r="A46" s="39" t="s">
        <v>245</v>
      </c>
      <c r="B46" s="40" t="s">
        <v>116</v>
      </c>
      <c r="C46" s="41" t="s">
        <v>114</v>
      </c>
      <c r="D46" s="42">
        <v>44927</v>
      </c>
      <c r="E46" s="42">
        <v>45291</v>
      </c>
      <c r="F46" s="42">
        <f t="shared" si="3"/>
        <v>45107</v>
      </c>
      <c r="G46" s="112">
        <f>_xlfn.XLOOKUP(F46,'A-6 CMS Market Basket Index '!$AZ$3:$AZ$8,'A-6 CMS Market Basket Index '!$BF$3:$BF$8)</f>
        <v>1.0538000000000001</v>
      </c>
      <c r="H46" s="44">
        <v>48717</v>
      </c>
      <c r="I46" s="44">
        <v>306</v>
      </c>
      <c r="J46" s="65">
        <v>159.21</v>
      </c>
      <c r="K46" s="76">
        <f t="shared" si="4"/>
        <v>167.77549800000003</v>
      </c>
      <c r="L46" s="51"/>
      <c r="M46" s="46" t="s">
        <v>62</v>
      </c>
      <c r="N46" s="46">
        <v>84770</v>
      </c>
      <c r="O46" s="69" t="s">
        <v>223</v>
      </c>
      <c r="P46" s="70" t="s">
        <v>209</v>
      </c>
      <c r="R46" s="47"/>
      <c r="S46" s="267"/>
      <c r="T46" s="48"/>
      <c r="U46" s="48"/>
    </row>
    <row r="47" spans="1:21" s="46" customFormat="1" x14ac:dyDescent="0.25">
      <c r="A47" s="39" t="s">
        <v>245</v>
      </c>
      <c r="B47" s="40" t="s">
        <v>102</v>
      </c>
      <c r="C47" s="41" t="s">
        <v>103</v>
      </c>
      <c r="D47" s="42">
        <v>44927</v>
      </c>
      <c r="E47" s="42">
        <v>45291</v>
      </c>
      <c r="F47" s="42">
        <f t="shared" si="3"/>
        <v>45107</v>
      </c>
      <c r="G47" s="112">
        <f>_xlfn.XLOOKUP(F47,'A-6 CMS Market Basket Index '!$AZ$3:$AZ$8,'A-6 CMS Market Basket Index '!$BF$3:$BF$8)</f>
        <v>1.0538000000000001</v>
      </c>
      <c r="H47" s="44">
        <v>289393</v>
      </c>
      <c r="I47" s="44">
        <v>1750</v>
      </c>
      <c r="J47" s="65">
        <v>165.37</v>
      </c>
      <c r="K47" s="76">
        <f t="shared" si="4"/>
        <v>174.26690600000001</v>
      </c>
      <c r="L47" s="51"/>
      <c r="M47" s="46" t="s">
        <v>104</v>
      </c>
      <c r="N47" s="46">
        <v>84119</v>
      </c>
      <c r="O47" s="69" t="s">
        <v>218</v>
      </c>
      <c r="P47" s="70" t="s">
        <v>209</v>
      </c>
      <c r="R47" s="47"/>
      <c r="S47" s="267"/>
      <c r="T47" s="48"/>
      <c r="U47" s="48"/>
    </row>
    <row r="48" spans="1:21" s="46" customFormat="1" x14ac:dyDescent="0.25">
      <c r="A48" s="39" t="s">
        <v>245</v>
      </c>
      <c r="B48" s="40" t="s">
        <v>195</v>
      </c>
      <c r="C48" s="41" t="s">
        <v>194</v>
      </c>
      <c r="D48" s="42">
        <v>44927</v>
      </c>
      <c r="E48" s="42">
        <v>45291</v>
      </c>
      <c r="F48" s="42">
        <f t="shared" si="3"/>
        <v>45107</v>
      </c>
      <c r="G48" s="112">
        <f>_xlfn.XLOOKUP(F48,'A-6 CMS Market Basket Index '!$AZ$3:$AZ$8,'A-6 CMS Market Basket Index '!$BF$3:$BF$8)</f>
        <v>1.0538000000000001</v>
      </c>
      <c r="H48" s="44">
        <v>916</v>
      </c>
      <c r="I48" s="44">
        <v>5</v>
      </c>
      <c r="J48" s="65">
        <v>183.2</v>
      </c>
      <c r="K48" s="76">
        <f t="shared" si="4"/>
        <v>193.05616000000001</v>
      </c>
      <c r="L48" s="51"/>
      <c r="M48" s="46" t="s">
        <v>50</v>
      </c>
      <c r="N48" s="46">
        <v>84321</v>
      </c>
      <c r="O48" s="69" t="s">
        <v>210</v>
      </c>
      <c r="P48" s="70" t="s">
        <v>209</v>
      </c>
      <c r="R48" s="47"/>
      <c r="S48" s="267"/>
      <c r="T48" s="48"/>
      <c r="U48" s="48"/>
    </row>
    <row r="49" spans="1:21" s="46" customFormat="1" x14ac:dyDescent="0.25">
      <c r="A49" s="39" t="s">
        <v>245</v>
      </c>
      <c r="B49" s="40" t="s">
        <v>100</v>
      </c>
      <c r="C49" s="41" t="s">
        <v>57</v>
      </c>
      <c r="D49" s="42">
        <v>44927</v>
      </c>
      <c r="E49" s="42">
        <v>45291</v>
      </c>
      <c r="F49" s="42">
        <f t="shared" si="3"/>
        <v>45107</v>
      </c>
      <c r="G49" s="112">
        <f>_xlfn.XLOOKUP(F49,'A-6 CMS Market Basket Index '!$AZ$3:$AZ$8,'A-6 CMS Market Basket Index '!$BF$3:$BF$8)</f>
        <v>1.0538000000000001</v>
      </c>
      <c r="H49" s="44">
        <v>2035</v>
      </c>
      <c r="I49" s="44">
        <v>11</v>
      </c>
      <c r="J49" s="65">
        <v>185</v>
      </c>
      <c r="K49" s="76">
        <f t="shared" si="4"/>
        <v>194.953</v>
      </c>
      <c r="L49" s="51"/>
      <c r="M49" s="46" t="s">
        <v>101</v>
      </c>
      <c r="N49" s="46">
        <v>84095</v>
      </c>
      <c r="O49" s="69" t="s">
        <v>218</v>
      </c>
      <c r="P49" s="70" t="s">
        <v>209</v>
      </c>
      <c r="R49" s="47"/>
      <c r="S49" s="267"/>
      <c r="T49" s="48"/>
      <c r="U49" s="48"/>
    </row>
    <row r="50" spans="1:21" s="46" customFormat="1" x14ac:dyDescent="0.25">
      <c r="A50" s="39" t="s">
        <v>245</v>
      </c>
      <c r="B50" s="40" t="s">
        <v>93</v>
      </c>
      <c r="C50" s="41" t="s">
        <v>94</v>
      </c>
      <c r="D50" s="42">
        <v>44927</v>
      </c>
      <c r="E50" s="42">
        <v>45291</v>
      </c>
      <c r="F50" s="42">
        <f t="shared" si="3"/>
        <v>45107</v>
      </c>
      <c r="G50" s="112">
        <f>_xlfn.XLOOKUP(F50,'A-6 CMS Market Basket Index '!$AZ$3:$AZ$8,'A-6 CMS Market Basket Index '!$BF$3:$BF$8)</f>
        <v>1.0538000000000001</v>
      </c>
      <c r="H50" s="44">
        <v>51354</v>
      </c>
      <c r="I50" s="44">
        <v>266</v>
      </c>
      <c r="J50" s="65">
        <v>193.06</v>
      </c>
      <c r="K50" s="76">
        <f t="shared" si="4"/>
        <v>203.446628</v>
      </c>
      <c r="L50" s="51"/>
      <c r="M50" s="46" t="s">
        <v>18</v>
      </c>
      <c r="N50" s="46">
        <v>84107</v>
      </c>
      <c r="O50" s="69" t="s">
        <v>218</v>
      </c>
      <c r="P50" s="70" t="s">
        <v>209</v>
      </c>
      <c r="R50" s="47"/>
      <c r="S50" s="267"/>
      <c r="T50" s="48"/>
      <c r="U50" s="48"/>
    </row>
    <row r="51" spans="1:21" s="46" customFormat="1" x14ac:dyDescent="0.25">
      <c r="A51" s="39" t="s">
        <v>245</v>
      </c>
      <c r="B51" s="40" t="s">
        <v>192</v>
      </c>
      <c r="C51" s="41" t="s">
        <v>193</v>
      </c>
      <c r="D51" s="42">
        <v>44927</v>
      </c>
      <c r="E51" s="42">
        <v>45291</v>
      </c>
      <c r="F51" s="42">
        <f t="shared" si="3"/>
        <v>45107</v>
      </c>
      <c r="G51" s="112">
        <f>_xlfn.XLOOKUP(F51,'A-6 CMS Market Basket Index '!$AZ$3:$AZ$8,'A-6 CMS Market Basket Index '!$BF$3:$BF$8)</f>
        <v>1.0538000000000001</v>
      </c>
      <c r="H51" s="44">
        <v>15275</v>
      </c>
      <c r="I51" s="44">
        <v>79</v>
      </c>
      <c r="J51" s="65">
        <v>193.35</v>
      </c>
      <c r="K51" s="76">
        <f t="shared" si="4"/>
        <v>203.75223</v>
      </c>
      <c r="L51" s="51"/>
      <c r="M51" s="46" t="s">
        <v>62</v>
      </c>
      <c r="N51" s="46">
        <v>84790</v>
      </c>
      <c r="O51" s="69" t="s">
        <v>223</v>
      </c>
      <c r="P51" s="70" t="s">
        <v>209</v>
      </c>
      <c r="R51" s="47"/>
      <c r="S51" s="267"/>
      <c r="T51" s="48"/>
      <c r="U51" s="48"/>
    </row>
    <row r="52" spans="1:21" s="46" customFormat="1" x14ac:dyDescent="0.25">
      <c r="A52" s="39" t="s">
        <v>245</v>
      </c>
      <c r="B52" s="40" t="s">
        <v>196</v>
      </c>
      <c r="C52" s="41" t="s">
        <v>197</v>
      </c>
      <c r="D52" s="42">
        <v>44927</v>
      </c>
      <c r="E52" s="42">
        <v>45291</v>
      </c>
      <c r="F52" s="42">
        <f t="shared" si="3"/>
        <v>45107</v>
      </c>
      <c r="G52" s="112">
        <f>_xlfn.XLOOKUP(F52,'A-6 CMS Market Basket Index '!$AZ$3:$AZ$8,'A-6 CMS Market Basket Index '!$BF$3:$BF$8)</f>
        <v>1.0538000000000001</v>
      </c>
      <c r="H52" s="44">
        <v>23632</v>
      </c>
      <c r="I52" s="44">
        <v>118</v>
      </c>
      <c r="J52" s="65">
        <v>200.27</v>
      </c>
      <c r="K52" s="76">
        <f t="shared" si="4"/>
        <v>211.04452600000002</v>
      </c>
      <c r="L52" s="51"/>
      <c r="M52" s="46" t="s">
        <v>48</v>
      </c>
      <c r="N52" s="46">
        <v>84107</v>
      </c>
      <c r="O52" s="69" t="s">
        <v>218</v>
      </c>
      <c r="P52" s="70" t="s">
        <v>209</v>
      </c>
      <c r="R52" s="47"/>
      <c r="S52" s="267"/>
      <c r="T52" s="48"/>
      <c r="U52" s="48"/>
    </row>
    <row r="53" spans="1:21" s="46" customFormat="1" x14ac:dyDescent="0.25">
      <c r="A53" s="39" t="s">
        <v>245</v>
      </c>
      <c r="B53" s="40" t="s">
        <v>201</v>
      </c>
      <c r="C53" s="41" t="s">
        <v>202</v>
      </c>
      <c r="D53" s="42">
        <v>44927</v>
      </c>
      <c r="E53" s="42">
        <v>45291</v>
      </c>
      <c r="F53" s="42">
        <f t="shared" si="3"/>
        <v>45107</v>
      </c>
      <c r="G53" s="112">
        <f>_xlfn.XLOOKUP(F53,'A-6 CMS Market Basket Index '!$AZ$3:$AZ$8,'A-6 CMS Market Basket Index '!$BF$3:$BF$8)</f>
        <v>1.0538000000000001</v>
      </c>
      <c r="H53" s="44">
        <v>6564</v>
      </c>
      <c r="I53" s="44">
        <v>32</v>
      </c>
      <c r="J53" s="65">
        <v>205.13</v>
      </c>
      <c r="K53" s="76">
        <f t="shared" si="4"/>
        <v>216.16599400000001</v>
      </c>
      <c r="L53" s="51"/>
      <c r="M53" s="46" t="s">
        <v>104</v>
      </c>
      <c r="N53" s="46">
        <v>84119</v>
      </c>
      <c r="O53" s="69" t="s">
        <v>218</v>
      </c>
      <c r="P53" s="70" t="s">
        <v>209</v>
      </c>
      <c r="R53" s="47"/>
      <c r="S53" s="267"/>
      <c r="T53" s="48"/>
      <c r="U53" s="48"/>
    </row>
    <row r="54" spans="1:21" s="46" customFormat="1" x14ac:dyDescent="0.25">
      <c r="A54" s="39" t="s">
        <v>245</v>
      </c>
      <c r="B54" s="40" t="s">
        <v>58</v>
      </c>
      <c r="C54" s="41" t="s">
        <v>59</v>
      </c>
      <c r="D54" s="42">
        <v>44927</v>
      </c>
      <c r="E54" s="42">
        <v>45291</v>
      </c>
      <c r="F54" s="42">
        <f t="shared" si="3"/>
        <v>45107</v>
      </c>
      <c r="G54" s="112">
        <f>_xlfn.XLOOKUP(F54,'A-6 CMS Market Basket Index '!$AZ$3:$AZ$8,'A-6 CMS Market Basket Index '!$BF$3:$BF$8)</f>
        <v>1.0538000000000001</v>
      </c>
      <c r="H54" s="44">
        <v>24398</v>
      </c>
      <c r="I54" s="44">
        <v>117</v>
      </c>
      <c r="J54" s="65">
        <v>208.53</v>
      </c>
      <c r="K54" s="76">
        <f t="shared" si="4"/>
        <v>219.74891400000001</v>
      </c>
      <c r="L54" s="51"/>
      <c r="M54" s="46" t="s">
        <v>42</v>
      </c>
      <c r="N54" s="46">
        <v>84070</v>
      </c>
      <c r="O54" s="69" t="s">
        <v>218</v>
      </c>
      <c r="P54" s="70" t="s">
        <v>209</v>
      </c>
      <c r="R54" s="47"/>
      <c r="S54" s="267"/>
      <c r="T54" s="48"/>
      <c r="U54" s="48"/>
    </row>
    <row r="55" spans="1:21" s="46" customFormat="1" x14ac:dyDescent="0.25">
      <c r="A55" s="39" t="s">
        <v>245</v>
      </c>
      <c r="B55" s="40" t="s">
        <v>115</v>
      </c>
      <c r="C55" s="41" t="s">
        <v>113</v>
      </c>
      <c r="D55" s="42">
        <v>44927</v>
      </c>
      <c r="E55" s="42">
        <v>45291</v>
      </c>
      <c r="F55" s="42">
        <f t="shared" si="3"/>
        <v>45107</v>
      </c>
      <c r="G55" s="112">
        <f>_xlfn.XLOOKUP(F55,'A-6 CMS Market Basket Index '!$AZ$3:$AZ$8,'A-6 CMS Market Basket Index '!$BF$3:$BF$8)</f>
        <v>1.0538000000000001</v>
      </c>
      <c r="H55" s="44">
        <v>334921</v>
      </c>
      <c r="I55" s="44">
        <v>1588</v>
      </c>
      <c r="J55" s="65">
        <v>210.91</v>
      </c>
      <c r="K55" s="76">
        <f t="shared" si="4"/>
        <v>222.256958</v>
      </c>
      <c r="L55" s="51"/>
      <c r="M55" s="46" t="s">
        <v>48</v>
      </c>
      <c r="N55" s="46">
        <v>84123</v>
      </c>
      <c r="O55" s="69" t="s">
        <v>218</v>
      </c>
      <c r="P55" s="70" t="s">
        <v>209</v>
      </c>
      <c r="R55" s="47"/>
      <c r="S55" s="267"/>
      <c r="T55" s="48"/>
      <c r="U55" s="48"/>
    </row>
    <row r="56" spans="1:21" s="46" customFormat="1" x14ac:dyDescent="0.25">
      <c r="A56" s="39" t="s">
        <v>245</v>
      </c>
      <c r="B56" s="40" t="s">
        <v>203</v>
      </c>
      <c r="C56" s="41" t="s">
        <v>204</v>
      </c>
      <c r="D56" s="42">
        <v>44927</v>
      </c>
      <c r="E56" s="42">
        <v>45291</v>
      </c>
      <c r="F56" s="42">
        <f t="shared" si="3"/>
        <v>45107</v>
      </c>
      <c r="G56" s="112">
        <f>_xlfn.XLOOKUP(F56,'A-6 CMS Market Basket Index '!$AZ$3:$AZ$8,'A-6 CMS Market Basket Index '!$BF$3:$BF$8)</f>
        <v>1.0538000000000001</v>
      </c>
      <c r="H56" s="44">
        <v>221</v>
      </c>
      <c r="I56" s="44">
        <v>1</v>
      </c>
      <c r="J56" s="65">
        <v>221</v>
      </c>
      <c r="K56" s="76">
        <f t="shared" si="4"/>
        <v>232.88980000000001</v>
      </c>
      <c r="L56" s="51"/>
      <c r="M56" s="46" t="s">
        <v>17</v>
      </c>
      <c r="N56" s="46">
        <v>84097</v>
      </c>
      <c r="O56" s="69" t="s">
        <v>15</v>
      </c>
      <c r="P56" s="70" t="s">
        <v>213</v>
      </c>
      <c r="R56" s="47"/>
      <c r="S56" s="267"/>
      <c r="T56" s="48"/>
      <c r="U56" s="48"/>
    </row>
    <row r="57" spans="1:21" s="46" customFormat="1" x14ac:dyDescent="0.25">
      <c r="A57" s="39" t="s">
        <v>245</v>
      </c>
      <c r="B57" s="40" t="s">
        <v>154</v>
      </c>
      <c r="C57" s="41" t="s">
        <v>155</v>
      </c>
      <c r="D57" s="42">
        <v>44927</v>
      </c>
      <c r="E57" s="42">
        <v>45291</v>
      </c>
      <c r="F57" s="42">
        <f t="shared" si="3"/>
        <v>45107</v>
      </c>
      <c r="G57" s="112">
        <f>_xlfn.XLOOKUP(F57,'A-6 CMS Market Basket Index '!$AZ$3:$AZ$8,'A-6 CMS Market Basket Index '!$BF$3:$BF$8)</f>
        <v>1.0538000000000001</v>
      </c>
      <c r="H57" s="44">
        <v>48223</v>
      </c>
      <c r="I57" s="44">
        <v>217</v>
      </c>
      <c r="J57" s="65">
        <v>222.23</v>
      </c>
      <c r="K57" s="76">
        <f t="shared" si="4"/>
        <v>234.18597400000002</v>
      </c>
      <c r="L57" s="51"/>
      <c r="M57" s="46" t="s">
        <v>47</v>
      </c>
      <c r="N57" s="46">
        <v>84341</v>
      </c>
      <c r="O57" s="69" t="s">
        <v>210</v>
      </c>
      <c r="P57" s="70" t="s">
        <v>209</v>
      </c>
      <c r="R57" s="47"/>
      <c r="S57" s="267"/>
      <c r="T57" s="48"/>
      <c r="U57" s="48"/>
    </row>
    <row r="58" spans="1:21" s="46" customFormat="1" x14ac:dyDescent="0.25">
      <c r="A58" s="50" t="s">
        <v>246</v>
      </c>
      <c r="B58" s="86" t="s">
        <v>31</v>
      </c>
      <c r="C58" s="87">
        <v>467034</v>
      </c>
      <c r="D58" s="88">
        <v>45108</v>
      </c>
      <c r="E58" s="88">
        <v>45473</v>
      </c>
      <c r="F58" s="42">
        <f>((D58+E58)/2)+1</f>
        <v>45291.5</v>
      </c>
      <c r="G58" s="112">
        <f>_xlfn.XLOOKUP(F58,'A-6 CMS Market Basket Index '!$AZ$3:$AZ$8,'A-6 CMS Market Basket Index '!$BF$3:$BF$8)</f>
        <v>1.0366</v>
      </c>
      <c r="H58" s="49">
        <v>7762</v>
      </c>
      <c r="I58" s="49">
        <v>32</v>
      </c>
      <c r="J58" s="80">
        <v>242.56</v>
      </c>
      <c r="K58" s="76">
        <f t="shared" si="4"/>
        <v>251.43769599999999</v>
      </c>
      <c r="L58" s="51"/>
      <c r="M58" s="90" t="s">
        <v>30</v>
      </c>
      <c r="N58" s="90">
        <v>84648</v>
      </c>
      <c r="O58" s="91" t="s">
        <v>217</v>
      </c>
      <c r="P58" s="92" t="s">
        <v>209</v>
      </c>
      <c r="Q58" s="52" t="s">
        <v>28</v>
      </c>
      <c r="R58" s="53" t="s">
        <v>29</v>
      </c>
      <c r="S58" s="267"/>
      <c r="T58" s="48"/>
      <c r="U58" s="48"/>
    </row>
    <row r="59" spans="1:21" s="46" customFormat="1" x14ac:dyDescent="0.25">
      <c r="A59" s="39" t="s">
        <v>245</v>
      </c>
      <c r="B59" s="40" t="s">
        <v>169</v>
      </c>
      <c r="C59" s="41" t="s">
        <v>170</v>
      </c>
      <c r="D59" s="42">
        <v>44927</v>
      </c>
      <c r="E59" s="42">
        <v>45291</v>
      </c>
      <c r="F59" s="42">
        <f>((D59+E59)/2)-2</f>
        <v>45107</v>
      </c>
      <c r="G59" s="112">
        <f>_xlfn.XLOOKUP(F59,'A-6 CMS Market Basket Index '!$AZ$3:$AZ$8,'A-6 CMS Market Basket Index '!$BF$3:$BF$8)</f>
        <v>1.0538000000000001</v>
      </c>
      <c r="H59" s="44">
        <v>3907</v>
      </c>
      <c r="I59" s="44">
        <v>16</v>
      </c>
      <c r="J59" s="65">
        <v>244.19</v>
      </c>
      <c r="K59" s="76">
        <f t="shared" si="4"/>
        <v>257.32742200000001</v>
      </c>
      <c r="L59" s="51"/>
      <c r="M59" s="46" t="s">
        <v>45</v>
      </c>
      <c r="N59" s="46">
        <v>84020</v>
      </c>
      <c r="O59" s="69" t="s">
        <v>218</v>
      </c>
      <c r="P59" s="70" t="s">
        <v>209</v>
      </c>
      <c r="R59" s="47"/>
      <c r="S59" s="267"/>
      <c r="T59" s="48"/>
      <c r="U59" s="48"/>
    </row>
    <row r="60" spans="1:21" s="46" customFormat="1" x14ac:dyDescent="0.25">
      <c r="A60" s="39" t="s">
        <v>245</v>
      </c>
      <c r="B60" s="40" t="s">
        <v>98</v>
      </c>
      <c r="C60" s="41" t="s">
        <v>99</v>
      </c>
      <c r="D60" s="42">
        <v>45017</v>
      </c>
      <c r="E60" s="42">
        <v>45322</v>
      </c>
      <c r="F60" s="42">
        <f>((D60+E60)/2)</f>
        <v>45169.5</v>
      </c>
      <c r="G60" s="112">
        <f>_xlfn.XLOOKUP(F60,'A-6 CMS Market Basket Index '!$AZ$3:$AZ$8,'A-6 CMS Market Basket Index '!$BF$3:$BF$8)</f>
        <v>1.0426</v>
      </c>
      <c r="H60" s="44">
        <v>2781</v>
      </c>
      <c r="I60" s="44">
        <v>11</v>
      </c>
      <c r="J60" s="65">
        <v>252.82</v>
      </c>
      <c r="K60" s="76">
        <f t="shared" si="4"/>
        <v>263.59013199999998</v>
      </c>
      <c r="L60" s="51" t="str">
        <f t="shared" ref="L60:L63" si="5">IF(K60&gt;$K$95,"OL","")</f>
        <v/>
      </c>
      <c r="M60" s="46" t="s">
        <v>52</v>
      </c>
      <c r="N60" s="46">
        <v>84790</v>
      </c>
      <c r="O60" s="69" t="s">
        <v>223</v>
      </c>
      <c r="P60" s="70" t="s">
        <v>209</v>
      </c>
      <c r="R60" s="47"/>
      <c r="S60" s="267"/>
      <c r="T60" s="48"/>
      <c r="U60" s="48"/>
    </row>
    <row r="61" spans="1:21" s="46" customFormat="1" x14ac:dyDescent="0.25">
      <c r="A61" s="39" t="s">
        <v>245</v>
      </c>
      <c r="B61" s="40" t="s">
        <v>160</v>
      </c>
      <c r="C61" s="41" t="s">
        <v>161</v>
      </c>
      <c r="D61" s="42">
        <v>44927</v>
      </c>
      <c r="E61" s="42">
        <v>45291</v>
      </c>
      <c r="F61" s="42">
        <f t="shared" ref="F61:F75" si="6">((D61+E61)/2)-2</f>
        <v>45107</v>
      </c>
      <c r="G61" s="112">
        <f>_xlfn.XLOOKUP(F61,'A-6 CMS Market Basket Index '!$AZ$3:$AZ$8,'A-6 CMS Market Basket Index '!$BF$3:$BF$8)</f>
        <v>1.0538000000000001</v>
      </c>
      <c r="H61" s="44">
        <v>202291</v>
      </c>
      <c r="I61" s="44">
        <v>738</v>
      </c>
      <c r="J61" s="65">
        <v>274.11</v>
      </c>
      <c r="K61" s="76">
        <f t="shared" si="4"/>
        <v>288.85711800000001</v>
      </c>
      <c r="L61" s="51" t="str">
        <f t="shared" si="5"/>
        <v/>
      </c>
      <c r="M61" s="46" t="s">
        <v>62</v>
      </c>
      <c r="N61" s="46">
        <v>84770</v>
      </c>
      <c r="O61" s="69" t="s">
        <v>223</v>
      </c>
      <c r="P61" s="70" t="s">
        <v>209</v>
      </c>
      <c r="R61" s="47"/>
      <c r="S61" s="267"/>
      <c r="T61" s="48"/>
      <c r="U61" s="48"/>
    </row>
    <row r="62" spans="1:21" s="46" customFormat="1" x14ac:dyDescent="0.25">
      <c r="A62" s="39" t="s">
        <v>245</v>
      </c>
      <c r="B62" s="40" t="s">
        <v>158</v>
      </c>
      <c r="C62" s="41" t="s">
        <v>159</v>
      </c>
      <c r="D62" s="42">
        <v>44927</v>
      </c>
      <c r="E62" s="42">
        <v>45291</v>
      </c>
      <c r="F62" s="42">
        <f t="shared" si="6"/>
        <v>45107</v>
      </c>
      <c r="G62" s="112">
        <f>_xlfn.XLOOKUP(F62,'A-6 CMS Market Basket Index '!$AZ$3:$AZ$8,'A-6 CMS Market Basket Index '!$BF$3:$BF$8)</f>
        <v>1.0538000000000001</v>
      </c>
      <c r="H62" s="44">
        <v>1459252</v>
      </c>
      <c r="I62" s="44">
        <v>4613</v>
      </c>
      <c r="J62" s="65">
        <v>316.33</v>
      </c>
      <c r="K62" s="76">
        <f t="shared" si="4"/>
        <v>333.34855399999998</v>
      </c>
      <c r="L62" s="51" t="str">
        <f t="shared" si="5"/>
        <v/>
      </c>
      <c r="M62" s="46" t="s">
        <v>101</v>
      </c>
      <c r="N62" s="46">
        <v>84095</v>
      </c>
      <c r="O62" s="69" t="s">
        <v>218</v>
      </c>
      <c r="P62" s="70" t="s">
        <v>209</v>
      </c>
      <c r="R62" s="47"/>
      <c r="S62" s="267"/>
      <c r="T62" s="48"/>
      <c r="U62" s="48"/>
    </row>
    <row r="63" spans="1:21" s="46" customFormat="1" x14ac:dyDescent="0.25">
      <c r="A63" s="39" t="s">
        <v>245</v>
      </c>
      <c r="B63" s="40" t="s">
        <v>131</v>
      </c>
      <c r="C63" s="41" t="s">
        <v>130</v>
      </c>
      <c r="D63" s="42">
        <v>44927</v>
      </c>
      <c r="E63" s="42">
        <v>45291</v>
      </c>
      <c r="F63" s="42">
        <f t="shared" si="6"/>
        <v>45107</v>
      </c>
      <c r="G63" s="112">
        <f>_xlfn.XLOOKUP(F63,'A-6 CMS Market Basket Index '!$AZ$3:$AZ$8,'A-6 CMS Market Basket Index '!$BF$3:$BF$8)</f>
        <v>1.0538000000000001</v>
      </c>
      <c r="H63" s="44">
        <v>45400</v>
      </c>
      <c r="I63" s="44">
        <v>135</v>
      </c>
      <c r="J63" s="65">
        <v>336.3</v>
      </c>
      <c r="K63" s="76">
        <f t="shared" si="4"/>
        <v>354.39294000000001</v>
      </c>
      <c r="L63" s="51" t="str">
        <f t="shared" si="5"/>
        <v/>
      </c>
      <c r="M63" s="46" t="s">
        <v>48</v>
      </c>
      <c r="N63" s="46">
        <v>84107</v>
      </c>
      <c r="O63" s="69" t="s">
        <v>218</v>
      </c>
      <c r="P63" s="70" t="s">
        <v>209</v>
      </c>
      <c r="R63" s="47"/>
      <c r="S63" s="267"/>
      <c r="T63" s="48"/>
      <c r="U63" s="48"/>
    </row>
    <row r="64" spans="1:21" s="46" customFormat="1" x14ac:dyDescent="0.25">
      <c r="A64" s="39" t="s">
        <v>245</v>
      </c>
      <c r="B64" s="40" t="s">
        <v>205</v>
      </c>
      <c r="C64" s="41" t="s">
        <v>206</v>
      </c>
      <c r="D64" s="42">
        <v>44927</v>
      </c>
      <c r="E64" s="42">
        <v>45291</v>
      </c>
      <c r="F64" s="42">
        <f t="shared" si="6"/>
        <v>45107</v>
      </c>
      <c r="G64" s="112">
        <f>_xlfn.XLOOKUP(F64,'A-6 CMS Market Basket Index '!$AZ$3:$AZ$8,'A-6 CMS Market Basket Index '!$BF$3:$BF$8)</f>
        <v>1.0538000000000001</v>
      </c>
      <c r="H64" s="44">
        <v>74900</v>
      </c>
      <c r="I64" s="44">
        <v>189</v>
      </c>
      <c r="J64" s="65">
        <v>396.3</v>
      </c>
      <c r="K64" s="76">
        <f t="shared" si="4"/>
        <v>417.62094000000002</v>
      </c>
      <c r="L64" s="51" t="str">
        <f t="shared" ref="L64:L68" si="7">IF(K64&gt;$K$95,"OL","")</f>
        <v>OL</v>
      </c>
      <c r="M64" s="46" t="s">
        <v>18</v>
      </c>
      <c r="N64" s="46">
        <v>84107</v>
      </c>
      <c r="O64" s="69" t="s">
        <v>218</v>
      </c>
      <c r="P64" s="70" t="s">
        <v>209</v>
      </c>
      <c r="R64" s="47"/>
      <c r="S64" s="267"/>
      <c r="T64" s="48"/>
      <c r="U64" s="48"/>
    </row>
    <row r="65" spans="1:21" s="46" customFormat="1" x14ac:dyDescent="0.25">
      <c r="A65" s="39" t="s">
        <v>245</v>
      </c>
      <c r="B65" s="40" t="s">
        <v>125</v>
      </c>
      <c r="C65" s="41" t="s">
        <v>126</v>
      </c>
      <c r="D65" s="42">
        <v>44927</v>
      </c>
      <c r="E65" s="42">
        <v>45291</v>
      </c>
      <c r="F65" s="42">
        <f t="shared" si="6"/>
        <v>45107</v>
      </c>
      <c r="G65" s="112">
        <f>_xlfn.XLOOKUP(F65,'A-6 CMS Market Basket Index '!$AZ$3:$AZ$8,'A-6 CMS Market Basket Index '!$BF$3:$BF$8)</f>
        <v>1.0538000000000001</v>
      </c>
      <c r="H65" s="44">
        <v>130383</v>
      </c>
      <c r="I65" s="44">
        <v>310</v>
      </c>
      <c r="J65" s="65">
        <v>420.59</v>
      </c>
      <c r="K65" s="76">
        <f t="shared" si="4"/>
        <v>443.21774199999999</v>
      </c>
      <c r="L65" s="51" t="str">
        <f t="shared" si="7"/>
        <v>OL</v>
      </c>
      <c r="M65" s="46" t="s">
        <v>48</v>
      </c>
      <c r="N65" s="46">
        <v>84123</v>
      </c>
      <c r="O65" s="69" t="s">
        <v>218</v>
      </c>
      <c r="P65" s="70" t="s">
        <v>209</v>
      </c>
      <c r="R65" s="47"/>
      <c r="S65" s="267"/>
      <c r="T65" s="48"/>
      <c r="U65" s="48"/>
    </row>
    <row r="66" spans="1:21" s="46" customFormat="1" x14ac:dyDescent="0.25">
      <c r="A66" s="39" t="s">
        <v>245</v>
      </c>
      <c r="B66" s="40" t="s">
        <v>156</v>
      </c>
      <c r="C66" s="41" t="s">
        <v>157</v>
      </c>
      <c r="D66" s="42">
        <v>44927</v>
      </c>
      <c r="E66" s="42">
        <v>45291</v>
      </c>
      <c r="F66" s="42">
        <f t="shared" si="6"/>
        <v>45107</v>
      </c>
      <c r="G66" s="112">
        <f>_xlfn.XLOOKUP(F66,'A-6 CMS Market Basket Index '!$AZ$3:$AZ$8,'A-6 CMS Market Basket Index '!$BF$3:$BF$8)</f>
        <v>1.0538000000000001</v>
      </c>
      <c r="H66" s="44">
        <v>359072</v>
      </c>
      <c r="I66" s="44">
        <v>822</v>
      </c>
      <c r="J66" s="65">
        <v>436.83</v>
      </c>
      <c r="K66" s="76">
        <f t="shared" si="4"/>
        <v>460.33145400000001</v>
      </c>
      <c r="L66" s="51" t="str">
        <f t="shared" si="7"/>
        <v>OL</v>
      </c>
      <c r="M66" s="46" t="s">
        <v>40</v>
      </c>
      <c r="N66" s="46">
        <v>84405</v>
      </c>
      <c r="O66" s="69" t="s">
        <v>224</v>
      </c>
      <c r="P66" s="70" t="s">
        <v>213</v>
      </c>
      <c r="R66" s="47"/>
      <c r="S66" s="267"/>
      <c r="T66" s="48"/>
      <c r="U66" s="48"/>
    </row>
    <row r="67" spans="1:21" s="46" customFormat="1" x14ac:dyDescent="0.25">
      <c r="A67" s="39" t="s">
        <v>245</v>
      </c>
      <c r="B67" s="40" t="s">
        <v>134</v>
      </c>
      <c r="C67" s="41" t="s">
        <v>135</v>
      </c>
      <c r="D67" s="42">
        <v>44927</v>
      </c>
      <c r="E67" s="42">
        <v>45291</v>
      </c>
      <c r="F67" s="42">
        <f t="shared" si="6"/>
        <v>45107</v>
      </c>
      <c r="G67" s="112">
        <f>_xlfn.XLOOKUP(F67,'A-6 CMS Market Basket Index '!$AZ$3:$AZ$8,'A-6 CMS Market Basket Index '!$BF$3:$BF$8)</f>
        <v>1.0538000000000001</v>
      </c>
      <c r="H67" s="44">
        <v>2817</v>
      </c>
      <c r="I67" s="44">
        <v>6</v>
      </c>
      <c r="J67" s="65">
        <v>469.5</v>
      </c>
      <c r="K67" s="76">
        <f t="shared" si="4"/>
        <v>494.75910000000005</v>
      </c>
      <c r="L67" s="51" t="str">
        <f t="shared" si="7"/>
        <v>OL</v>
      </c>
      <c r="M67" s="46" t="s">
        <v>17</v>
      </c>
      <c r="N67" s="46">
        <v>84057</v>
      </c>
      <c r="O67" s="69" t="s">
        <v>15</v>
      </c>
      <c r="P67" s="70" t="s">
        <v>213</v>
      </c>
      <c r="R67" s="47"/>
      <c r="S67" s="267"/>
      <c r="T67" s="48"/>
      <c r="U67" s="48"/>
    </row>
    <row r="68" spans="1:21" s="46" customFormat="1" x14ac:dyDescent="0.25">
      <c r="A68" s="39" t="s">
        <v>245</v>
      </c>
      <c r="B68" s="40" t="s">
        <v>152</v>
      </c>
      <c r="C68" s="41" t="s">
        <v>153</v>
      </c>
      <c r="D68" s="42">
        <v>44927</v>
      </c>
      <c r="E68" s="42">
        <v>45291</v>
      </c>
      <c r="F68" s="42">
        <f t="shared" si="6"/>
        <v>45107</v>
      </c>
      <c r="G68" s="112">
        <f>_xlfn.XLOOKUP(F68,'A-6 CMS Market Basket Index '!$AZ$3:$AZ$8,'A-6 CMS Market Basket Index '!$BF$3:$BF$8)</f>
        <v>1.0538000000000001</v>
      </c>
      <c r="H68" s="44">
        <v>5163</v>
      </c>
      <c r="I68" s="44">
        <v>9</v>
      </c>
      <c r="J68" s="65">
        <v>573.66999999999996</v>
      </c>
      <c r="K68" s="76">
        <f t="shared" si="4"/>
        <v>604.53344600000003</v>
      </c>
      <c r="L68" s="51" t="str">
        <f t="shared" si="7"/>
        <v>OL</v>
      </c>
      <c r="M68" s="46" t="s">
        <v>62</v>
      </c>
      <c r="N68" s="46">
        <v>84790</v>
      </c>
      <c r="O68" s="69" t="s">
        <v>223</v>
      </c>
      <c r="P68" s="70" t="s">
        <v>209</v>
      </c>
      <c r="R68" s="47"/>
      <c r="S68" s="267"/>
      <c r="T68" s="48"/>
      <c r="U68" s="48"/>
    </row>
    <row r="69" spans="1:21" s="46" customFormat="1" x14ac:dyDescent="0.25">
      <c r="A69" s="39" t="s">
        <v>245</v>
      </c>
      <c r="B69" s="40" t="s">
        <v>78</v>
      </c>
      <c r="C69" s="41" t="s">
        <v>79</v>
      </c>
      <c r="D69" s="42">
        <v>44927</v>
      </c>
      <c r="E69" s="42">
        <v>45291</v>
      </c>
      <c r="F69" s="42">
        <f t="shared" si="6"/>
        <v>45107</v>
      </c>
      <c r="G69" s="112">
        <f>_xlfn.XLOOKUP(F69,'A-6 CMS Market Basket Index '!$AZ$3:$AZ$8,'A-6 CMS Market Basket Index '!$BF$3:$BF$8)</f>
        <v>1.0538000000000001</v>
      </c>
      <c r="H69" s="44"/>
      <c r="I69" s="44"/>
      <c r="J69" s="65"/>
      <c r="K69" s="76" t="str">
        <f t="shared" si="4"/>
        <v/>
      </c>
      <c r="L69" s="51"/>
      <c r="M69" s="46" t="s">
        <v>80</v>
      </c>
      <c r="N69" s="46">
        <v>84654</v>
      </c>
      <c r="O69" s="69" t="s">
        <v>221</v>
      </c>
      <c r="P69" s="70" t="s">
        <v>209</v>
      </c>
      <c r="R69" s="47"/>
      <c r="S69" s="267"/>
      <c r="T69" s="48"/>
      <c r="U69" s="48"/>
    </row>
    <row r="70" spans="1:21" s="46" customFormat="1" x14ac:dyDescent="0.25">
      <c r="A70" s="39" t="s">
        <v>245</v>
      </c>
      <c r="B70" s="40" t="s">
        <v>86</v>
      </c>
      <c r="C70" s="41" t="s">
        <v>87</v>
      </c>
      <c r="D70" s="42">
        <v>44927</v>
      </c>
      <c r="E70" s="42">
        <v>45291</v>
      </c>
      <c r="F70" s="42">
        <f t="shared" si="6"/>
        <v>45107</v>
      </c>
      <c r="G70" s="112">
        <f>_xlfn.XLOOKUP(F70,'A-6 CMS Market Basket Index '!$AZ$3:$AZ$8,'A-6 CMS Market Basket Index '!$BF$3:$BF$8)</f>
        <v>1.0538000000000001</v>
      </c>
      <c r="H70" s="44"/>
      <c r="I70" s="44"/>
      <c r="J70" s="65"/>
      <c r="K70" s="76" t="str">
        <f t="shared" ref="K70:K78" si="8">IF(J70="","",J70*$G70)</f>
        <v/>
      </c>
      <c r="L70" s="51"/>
      <c r="M70" s="46" t="s">
        <v>50</v>
      </c>
      <c r="N70" s="46">
        <v>84341</v>
      </c>
      <c r="O70" s="69" t="s">
        <v>210</v>
      </c>
      <c r="P70" s="70" t="s">
        <v>209</v>
      </c>
      <c r="R70" s="47"/>
      <c r="S70" s="267"/>
      <c r="T70" s="48"/>
      <c r="U70" s="48"/>
    </row>
    <row r="71" spans="1:21" s="46" customFormat="1" x14ac:dyDescent="0.25">
      <c r="A71" s="39" t="s">
        <v>245</v>
      </c>
      <c r="B71" s="40" t="s">
        <v>171</v>
      </c>
      <c r="C71" s="41" t="s">
        <v>172</v>
      </c>
      <c r="D71" s="42">
        <v>44927</v>
      </c>
      <c r="E71" s="42">
        <v>45291</v>
      </c>
      <c r="F71" s="42">
        <f t="shared" si="6"/>
        <v>45107</v>
      </c>
      <c r="G71" s="112">
        <f>_xlfn.XLOOKUP(F71,'A-6 CMS Market Basket Index '!$AZ$3:$AZ$8,'A-6 CMS Market Basket Index '!$BF$3:$BF$8)</f>
        <v>1.0538000000000001</v>
      </c>
      <c r="H71" s="44"/>
      <c r="I71" s="44"/>
      <c r="J71" s="65"/>
      <c r="K71" s="76" t="str">
        <f t="shared" si="8"/>
        <v/>
      </c>
      <c r="L71" s="51"/>
      <c r="M71" s="46" t="s">
        <v>173</v>
      </c>
      <c r="N71" s="46">
        <v>84117</v>
      </c>
      <c r="O71" s="69" t="s">
        <v>218</v>
      </c>
      <c r="P71" s="70" t="s">
        <v>209</v>
      </c>
      <c r="R71" s="47"/>
      <c r="S71" s="267"/>
      <c r="T71" s="48"/>
      <c r="U71" s="48"/>
    </row>
    <row r="72" spans="1:21" s="46" customFormat="1" x14ac:dyDescent="0.25">
      <c r="A72" s="39" t="s">
        <v>245</v>
      </c>
      <c r="B72" s="40" t="s">
        <v>175</v>
      </c>
      <c r="C72" s="41" t="s">
        <v>176</v>
      </c>
      <c r="D72" s="42">
        <v>44927</v>
      </c>
      <c r="E72" s="42">
        <v>45291</v>
      </c>
      <c r="F72" s="42">
        <f t="shared" si="6"/>
        <v>45107</v>
      </c>
      <c r="G72" s="112">
        <f>_xlfn.XLOOKUP(F72,'A-6 CMS Market Basket Index '!$AZ$3:$AZ$8,'A-6 CMS Market Basket Index '!$BF$3:$BF$8)</f>
        <v>1.0538000000000001</v>
      </c>
      <c r="H72" s="44"/>
      <c r="I72" s="44"/>
      <c r="J72" s="65"/>
      <c r="K72" s="76" t="str">
        <f t="shared" si="8"/>
        <v/>
      </c>
      <c r="L72" s="51"/>
      <c r="M72" s="46" t="s">
        <v>177</v>
      </c>
      <c r="N72" s="46">
        <v>84332</v>
      </c>
      <c r="O72" s="69" t="s">
        <v>210</v>
      </c>
      <c r="P72" s="70" t="s">
        <v>209</v>
      </c>
      <c r="R72" s="47"/>
      <c r="S72" s="267"/>
      <c r="T72" s="48"/>
      <c r="U72" s="48"/>
    </row>
    <row r="73" spans="1:21" s="46" customFormat="1" x14ac:dyDescent="0.25">
      <c r="A73" s="39" t="s">
        <v>245</v>
      </c>
      <c r="B73" s="40" t="s">
        <v>123</v>
      </c>
      <c r="C73" s="41" t="s">
        <v>124</v>
      </c>
      <c r="D73" s="42">
        <v>44927</v>
      </c>
      <c r="E73" s="42">
        <v>45291</v>
      </c>
      <c r="F73" s="42">
        <f t="shared" si="6"/>
        <v>45107</v>
      </c>
      <c r="G73" s="112">
        <f>_xlfn.XLOOKUP(F73,'A-6 CMS Market Basket Index '!$AZ$3:$AZ$8,'A-6 CMS Market Basket Index '!$BF$3:$BF$8)</f>
        <v>1.0538000000000001</v>
      </c>
      <c r="H73" s="44"/>
      <c r="I73" s="44"/>
      <c r="J73" s="65"/>
      <c r="K73" s="76" t="str">
        <f t="shared" si="8"/>
        <v/>
      </c>
      <c r="L73" s="51"/>
      <c r="M73" s="46" t="s">
        <v>23</v>
      </c>
      <c r="N73" s="46">
        <v>84088</v>
      </c>
      <c r="O73" s="69" t="s">
        <v>218</v>
      </c>
      <c r="P73" s="70" t="s">
        <v>209</v>
      </c>
      <c r="R73" s="47"/>
      <c r="S73" s="267"/>
      <c r="T73" s="48"/>
      <c r="U73" s="48"/>
    </row>
    <row r="74" spans="1:21" s="52" customFormat="1" x14ac:dyDescent="0.25">
      <c r="A74" s="39" t="s">
        <v>245</v>
      </c>
      <c r="B74" s="40" t="s">
        <v>167</v>
      </c>
      <c r="C74" s="41" t="s">
        <v>168</v>
      </c>
      <c r="D74" s="42">
        <v>44927</v>
      </c>
      <c r="E74" s="42">
        <v>45291</v>
      </c>
      <c r="F74" s="42">
        <f t="shared" si="6"/>
        <v>45107</v>
      </c>
      <c r="G74" s="112">
        <f>_xlfn.XLOOKUP(F74,'A-6 CMS Market Basket Index '!$AZ$3:$AZ$8,'A-6 CMS Market Basket Index '!$BF$3:$BF$8)</f>
        <v>1.0538000000000001</v>
      </c>
      <c r="H74" s="44"/>
      <c r="I74" s="44"/>
      <c r="J74" s="65"/>
      <c r="K74" s="76" t="str">
        <f t="shared" si="8"/>
        <v/>
      </c>
      <c r="L74" s="51"/>
      <c r="M74" s="46" t="s">
        <v>46</v>
      </c>
      <c r="N74" s="46">
        <v>84660</v>
      </c>
      <c r="O74" s="69" t="s">
        <v>15</v>
      </c>
      <c r="P74" s="70" t="s">
        <v>213</v>
      </c>
      <c r="Q74" s="46"/>
      <c r="R74" s="47"/>
      <c r="T74" s="54"/>
      <c r="U74" s="54"/>
    </row>
    <row r="75" spans="1:21" s="52" customFormat="1" x14ac:dyDescent="0.25">
      <c r="A75" s="39" t="s">
        <v>245</v>
      </c>
      <c r="B75" s="40" t="s">
        <v>85</v>
      </c>
      <c r="C75" s="41" t="s">
        <v>84</v>
      </c>
      <c r="D75" s="42">
        <v>44927</v>
      </c>
      <c r="E75" s="42">
        <v>45291</v>
      </c>
      <c r="F75" s="42">
        <f t="shared" si="6"/>
        <v>45107</v>
      </c>
      <c r="G75" s="112">
        <f>_xlfn.XLOOKUP(F75,'A-6 CMS Market Basket Index '!$AZ$3:$AZ$8,'A-6 CMS Market Basket Index '!$BF$3:$BF$8)</f>
        <v>1.0538000000000001</v>
      </c>
      <c r="H75" s="44"/>
      <c r="I75" s="44"/>
      <c r="J75" s="65"/>
      <c r="K75" s="76" t="str">
        <f t="shared" si="8"/>
        <v/>
      </c>
      <c r="L75" s="51"/>
      <c r="M75" s="46" t="s">
        <v>45</v>
      </c>
      <c r="N75" s="46">
        <v>84020</v>
      </c>
      <c r="O75" s="69" t="s">
        <v>218</v>
      </c>
      <c r="P75" s="70" t="s">
        <v>209</v>
      </c>
      <c r="Q75" s="46"/>
      <c r="R75" s="47"/>
      <c r="T75" s="54"/>
      <c r="U75" s="54"/>
    </row>
    <row r="76" spans="1:21" s="52" customFormat="1" x14ac:dyDescent="0.25">
      <c r="A76" s="50" t="s">
        <v>246</v>
      </c>
      <c r="B76" s="86" t="s">
        <v>35</v>
      </c>
      <c r="C76" s="87">
        <v>467035</v>
      </c>
      <c r="D76" s="88">
        <v>45108</v>
      </c>
      <c r="E76" s="88">
        <v>45473</v>
      </c>
      <c r="F76" s="42">
        <f>((D76+E76)/2)+1</f>
        <v>45291.5</v>
      </c>
      <c r="G76" s="112">
        <f>_xlfn.XLOOKUP(F76,'A-6 CMS Market Basket Index '!$AZ$3:$AZ$8,'A-6 CMS Market Basket Index '!$BF$3:$BF$8)</f>
        <v>1.0366</v>
      </c>
      <c r="H76" s="49"/>
      <c r="I76" s="49"/>
      <c r="J76" s="80"/>
      <c r="K76" s="76" t="str">
        <f t="shared" si="8"/>
        <v/>
      </c>
      <c r="L76" s="51"/>
      <c r="M76" s="90" t="s">
        <v>34</v>
      </c>
      <c r="N76" s="90">
        <v>84634</v>
      </c>
      <c r="O76" s="91" t="s">
        <v>220</v>
      </c>
      <c r="P76" s="92" t="s">
        <v>209</v>
      </c>
      <c r="Q76" s="52" t="s">
        <v>32</v>
      </c>
      <c r="R76" s="53" t="s">
        <v>33</v>
      </c>
      <c r="T76" s="54"/>
      <c r="U76" s="54"/>
    </row>
    <row r="77" spans="1:21" s="52" customFormat="1" x14ac:dyDescent="0.25">
      <c r="A77" s="50" t="s">
        <v>246</v>
      </c>
      <c r="B77" s="86" t="s">
        <v>27</v>
      </c>
      <c r="C77" s="87">
        <v>467038</v>
      </c>
      <c r="D77" s="88">
        <v>45108</v>
      </c>
      <c r="E77" s="88">
        <v>45473</v>
      </c>
      <c r="F77" s="42">
        <f>((D77+E77)/2)+1</f>
        <v>45291.5</v>
      </c>
      <c r="G77" s="112">
        <f>_xlfn.XLOOKUP(F77,'A-6 CMS Market Basket Index '!$AZ$3:$AZ$8,'A-6 CMS Market Basket Index '!$BF$3:$BF$8)</f>
        <v>1.0366</v>
      </c>
      <c r="H77" s="49"/>
      <c r="I77" s="49"/>
      <c r="J77" s="80"/>
      <c r="K77" s="76" t="str">
        <f t="shared" si="8"/>
        <v/>
      </c>
      <c r="L77" s="51"/>
      <c r="M77" s="90" t="s">
        <v>26</v>
      </c>
      <c r="N77" s="90">
        <v>84713</v>
      </c>
      <c r="O77" s="91" t="s">
        <v>208</v>
      </c>
      <c r="P77" s="92" t="s">
        <v>209</v>
      </c>
      <c r="Q77" s="52" t="s">
        <v>24</v>
      </c>
      <c r="R77" s="53" t="s">
        <v>25</v>
      </c>
      <c r="T77" s="54"/>
      <c r="U77" s="54"/>
    </row>
    <row r="78" spans="1:21" s="52" customFormat="1" x14ac:dyDescent="0.25">
      <c r="A78" s="50" t="s">
        <v>246</v>
      </c>
      <c r="B78" s="86" t="s">
        <v>38</v>
      </c>
      <c r="C78" s="87">
        <v>467081</v>
      </c>
      <c r="D78" s="88">
        <v>45292</v>
      </c>
      <c r="E78" s="88">
        <v>45412</v>
      </c>
      <c r="F78" s="42">
        <f>((D78+E78)/2)-2</f>
        <v>45350</v>
      </c>
      <c r="G78" s="112">
        <f>_xlfn.XLOOKUP(F78,'A-6 CMS Market Basket Index '!$AZ$3:$AZ$8,'A-6 CMS Market Basket Index '!$BF$3:$BF$8)</f>
        <v>1.0233000000000001</v>
      </c>
      <c r="H78" s="49"/>
      <c r="I78" s="49"/>
      <c r="J78" s="80"/>
      <c r="K78" s="76" t="str">
        <f t="shared" si="8"/>
        <v/>
      </c>
      <c r="L78" s="51"/>
      <c r="M78" s="90" t="s">
        <v>37</v>
      </c>
      <c r="N78" s="90">
        <v>84010</v>
      </c>
      <c r="O78" s="91" t="s">
        <v>212</v>
      </c>
      <c r="P78" s="92" t="s">
        <v>213</v>
      </c>
      <c r="Q78" s="52" t="s">
        <v>43</v>
      </c>
      <c r="R78" s="53" t="s">
        <v>36</v>
      </c>
      <c r="T78" s="54"/>
      <c r="U78" s="54"/>
    </row>
    <row r="79" spans="1:21" s="133" customFormat="1" ht="15.75" thickBot="1" x14ac:dyDescent="0.3">
      <c r="A79" s="124" t="s">
        <v>386</v>
      </c>
      <c r="B79" s="125"/>
      <c r="C79" s="126"/>
      <c r="D79" s="127"/>
      <c r="E79" s="127"/>
      <c r="F79" s="127"/>
      <c r="G79" s="128">
        <f>AVERAGE(G6:G78)</f>
        <v>1.0526287671232879</v>
      </c>
      <c r="H79" s="129">
        <f>SUM(H6:H78)</f>
        <v>4203381</v>
      </c>
      <c r="I79" s="130">
        <f>SUM(I6:I78)</f>
        <v>20688</v>
      </c>
      <c r="J79" s="131">
        <f>H79/I79</f>
        <v>203.17966937354987</v>
      </c>
      <c r="K79" s="131">
        <f t="shared" ref="K79" si="9">J79*$G79</f>
        <v>213.87276487719706</v>
      </c>
      <c r="L79" s="132"/>
      <c r="O79" s="134"/>
      <c r="P79" s="135"/>
    </row>
    <row r="80" spans="1:21" s="46" customFormat="1" ht="15.75" thickTop="1" x14ac:dyDescent="0.25">
      <c r="A80" s="39"/>
      <c r="B80" s="40"/>
      <c r="C80" s="41"/>
      <c r="D80" s="42"/>
      <c r="E80" s="42"/>
      <c r="F80" s="42"/>
      <c r="G80" s="42"/>
      <c r="H80" s="44"/>
      <c r="I80" s="44"/>
      <c r="J80" s="65"/>
      <c r="K80" s="65"/>
      <c r="L80" s="71"/>
      <c r="O80" s="69"/>
      <c r="P80" s="70"/>
    </row>
    <row r="81" spans="1:16" s="46" customFormat="1" x14ac:dyDescent="0.25">
      <c r="A81" s="39"/>
      <c r="B81" s="40"/>
      <c r="C81" s="41"/>
      <c r="D81" s="42"/>
      <c r="E81" s="55" t="s">
        <v>247</v>
      </c>
      <c r="F81" s="42"/>
      <c r="G81" s="42"/>
      <c r="H81" s="122"/>
      <c r="I81" s="57"/>
      <c r="J81" s="57" t="s">
        <v>390</v>
      </c>
      <c r="K81" s="57"/>
      <c r="L81" s="58"/>
      <c r="O81" s="69"/>
      <c r="P81" s="70"/>
    </row>
    <row r="82" spans="1:16" s="46" customFormat="1" ht="17.25" x14ac:dyDescent="0.4">
      <c r="A82" s="39"/>
      <c r="B82" s="40"/>
      <c r="C82" s="59"/>
      <c r="D82" s="42"/>
      <c r="E82" s="42"/>
      <c r="F82" s="42"/>
      <c r="G82" s="42"/>
      <c r="H82" s="122"/>
      <c r="I82" s="61"/>
      <c r="J82" s="61" t="s">
        <v>383</v>
      </c>
      <c r="K82" s="61" t="s">
        <v>389</v>
      </c>
      <c r="L82" s="62"/>
      <c r="O82" s="69"/>
      <c r="P82" s="70"/>
    </row>
    <row r="83" spans="1:16" s="46" customFormat="1" x14ac:dyDescent="0.25">
      <c r="A83" s="39"/>
      <c r="B83" s="40"/>
      <c r="C83" s="59"/>
      <c r="D83" s="42"/>
      <c r="F83" s="42"/>
      <c r="G83" s="42" t="s">
        <v>248</v>
      </c>
      <c r="H83" s="122"/>
      <c r="I83" s="72"/>
      <c r="J83" s="72">
        <f>MIN(K$6:K$63)</f>
        <v>16.203575999999998</v>
      </c>
      <c r="K83" s="72">
        <f>MIN(K$6:K$78)</f>
        <v>16.203575999999998</v>
      </c>
      <c r="L83" s="64"/>
      <c r="O83" s="69"/>
      <c r="P83" s="70"/>
    </row>
    <row r="84" spans="1:16" s="46" customFormat="1" x14ac:dyDescent="0.25">
      <c r="A84" s="39"/>
      <c r="B84" s="40"/>
      <c r="C84" s="59"/>
      <c r="D84" s="42"/>
      <c r="F84" s="42"/>
      <c r="G84" s="42" t="s">
        <v>249</v>
      </c>
      <c r="H84" s="122"/>
      <c r="I84" s="72"/>
      <c r="J84" s="72">
        <f>MAX(K$6:K$63)</f>
        <v>354.39294000000001</v>
      </c>
      <c r="K84" s="72">
        <f>MAX(K$6:K$78)</f>
        <v>604.53344600000003</v>
      </c>
      <c r="L84" s="64"/>
      <c r="O84" s="69"/>
      <c r="P84" s="70"/>
    </row>
    <row r="85" spans="1:16" s="46" customFormat="1" x14ac:dyDescent="0.25">
      <c r="A85" s="39"/>
      <c r="B85" s="40"/>
      <c r="C85" s="59"/>
      <c r="D85" s="42"/>
      <c r="F85" s="42"/>
      <c r="G85" s="42" t="s">
        <v>250</v>
      </c>
      <c r="H85" s="122"/>
      <c r="I85" s="72"/>
      <c r="J85" s="72" cm="1">
        <f t="array" ref="J85">ROUND(MEDIAN(IF(K$6:K$63&gt;0,K$6:K$63)),2)</f>
        <v>142.18</v>
      </c>
      <c r="K85" s="72" cm="1">
        <f t="array" ref="K85">ROUND(MEDIAN(IF(K$6:K$78&gt;0,K$6:K$78)),2)</f>
        <v>148.33000000000001</v>
      </c>
      <c r="L85" s="64"/>
      <c r="O85" s="69"/>
      <c r="P85" s="70"/>
    </row>
    <row r="86" spans="1:16" s="46" customFormat="1" x14ac:dyDescent="0.25">
      <c r="A86" s="39"/>
      <c r="B86" s="40"/>
      <c r="C86" s="59"/>
      <c r="D86" s="42"/>
      <c r="F86" s="42"/>
      <c r="G86" s="42" t="s">
        <v>251</v>
      </c>
      <c r="H86" s="122"/>
      <c r="I86" s="72"/>
      <c r="J86" s="72">
        <f>AVERAGE(K$6:K$63)</f>
        <v>151.08086989655172</v>
      </c>
      <c r="K86" s="72">
        <f>AVERAGE(K$6:K$78)</f>
        <v>177.51036723809523</v>
      </c>
      <c r="L86" s="64"/>
      <c r="O86" s="69"/>
      <c r="P86" s="70"/>
    </row>
    <row r="87" spans="1:16" s="90" customFormat="1" x14ac:dyDescent="0.25">
      <c r="A87" s="167"/>
      <c r="B87" s="168" t="s">
        <v>458</v>
      </c>
      <c r="C87" s="169"/>
      <c r="D87" s="170"/>
      <c r="E87" s="171"/>
      <c r="F87" s="170"/>
      <c r="G87" s="170" t="s">
        <v>252</v>
      </c>
      <c r="H87" s="174"/>
      <c r="I87" s="172"/>
      <c r="J87" s="173">
        <f>SUMPRODUCT(K6:K63,I6:I63)/SUM(I6:I63)</f>
        <v>197.71602390926009</v>
      </c>
      <c r="K87" s="176">
        <f>K79</f>
        <v>213.87276487719706</v>
      </c>
      <c r="L87" s="177"/>
      <c r="O87" s="91"/>
      <c r="P87" s="92"/>
    </row>
    <row r="88" spans="1:16" s="46" customFormat="1" x14ac:dyDescent="0.25">
      <c r="A88" s="39"/>
      <c r="B88" s="40"/>
      <c r="C88" s="59"/>
      <c r="F88" s="66">
        <v>0.5</v>
      </c>
      <c r="G88" s="42" t="s">
        <v>253</v>
      </c>
      <c r="H88" s="122"/>
      <c r="I88" s="72"/>
      <c r="J88" s="72">
        <f>ROUND(_xlfn.PERCENTILE.INC(K$6:K$63,$F$88),2)</f>
        <v>142.18</v>
      </c>
      <c r="K88" s="72">
        <f>ROUND(_xlfn.PERCENTILE.INC(K$6:K$78,$F$88),2)</f>
        <v>148.33000000000001</v>
      </c>
      <c r="L88" s="64"/>
      <c r="O88" s="69"/>
      <c r="P88" s="70"/>
    </row>
    <row r="89" spans="1:16" s="46" customFormat="1" x14ac:dyDescent="0.25">
      <c r="A89" s="39"/>
      <c r="B89" s="40"/>
      <c r="C89" s="41"/>
      <c r="D89" s="42"/>
      <c r="F89" s="42"/>
      <c r="G89" s="42" t="s">
        <v>387</v>
      </c>
      <c r="H89" s="43"/>
      <c r="I89" s="44"/>
      <c r="J89" s="65">
        <f>_xlfn.STDEV.P(K6:K63)</f>
        <v>68.63273561426611</v>
      </c>
      <c r="K89" s="65">
        <f>_xlfn.STDEV.P(K6:K78)</f>
        <v>113.03581632895427</v>
      </c>
      <c r="L89" s="45"/>
      <c r="O89" s="69"/>
      <c r="P89" s="70"/>
    </row>
    <row r="90" spans="1:16" x14ac:dyDescent="0.25">
      <c r="G90" s="46" t="s">
        <v>444</v>
      </c>
      <c r="H90" s="67"/>
      <c r="I90" s="65"/>
      <c r="K90" s="65">
        <f>_xlfn.QUARTILE.INC(K6:K78,1)</f>
        <v>102.37140100000002</v>
      </c>
      <c r="L90" s="68"/>
    </row>
    <row r="91" spans="1:16" x14ac:dyDescent="0.25">
      <c r="G91" s="46" t="s">
        <v>445</v>
      </c>
      <c r="I91" s="65"/>
      <c r="K91" s="65">
        <f>_xlfn.QUARTILE.INC(K6:K78,2)</f>
        <v>148.332888</v>
      </c>
    </row>
    <row r="92" spans="1:16" x14ac:dyDescent="0.25">
      <c r="G92" s="46" t="s">
        <v>446</v>
      </c>
      <c r="I92" s="65"/>
      <c r="K92" s="65">
        <f>_xlfn.QUARTILE.INC(K6:K78,3)</f>
        <v>213.60526000000002</v>
      </c>
    </row>
    <row r="93" spans="1:16" x14ac:dyDescent="0.25">
      <c r="G93" s="46" t="s">
        <v>447</v>
      </c>
      <c r="I93" s="65"/>
      <c r="K93" s="65">
        <f>_xlfn.QUARTILE.INC(K6:K78,4)</f>
        <v>604.53344600000003</v>
      </c>
    </row>
    <row r="94" spans="1:16" x14ac:dyDescent="0.25">
      <c r="G94" s="46" t="s">
        <v>448</v>
      </c>
      <c r="K94" s="65">
        <f>K92-K90</f>
        <v>111.233859</v>
      </c>
    </row>
    <row r="95" spans="1:16" x14ac:dyDescent="0.25">
      <c r="G95" s="46" t="s">
        <v>451</v>
      </c>
      <c r="K95" s="65">
        <f>K92+K94*1.5</f>
        <v>380.45604850000001</v>
      </c>
    </row>
    <row r="96" spans="1:16" x14ac:dyDescent="0.25">
      <c r="G96" s="46" t="s">
        <v>452</v>
      </c>
      <c r="J96" s="162" t="str">
        <f>IF(K96&lt;0,"Negative, no low outlier","")</f>
        <v>Negative, no low outlier</v>
      </c>
      <c r="K96" s="65">
        <f>K90-1.5*K94</f>
        <v>-64.479387499999973</v>
      </c>
    </row>
  </sheetData>
  <autoFilter ref="B4:O89" xr:uid="{00000000-0009-0000-0000-000009000000}"/>
  <sortState xmlns:xlrd2="http://schemas.microsoft.com/office/spreadsheetml/2017/richdata2" ref="A6:R78">
    <sortCondition ref="K6:K78"/>
  </sortState>
  <mergeCells count="1">
    <mergeCell ref="L2:L4"/>
  </mergeCells>
  <pageMargins left="0.7" right="0.7" top="0.75" bottom="0.75" header="0.3" footer="0.3"/>
  <pageSetup paperSize="3" scale="38" fitToHeight="0" orientation="landscape" verticalDpi="0" r:id="rId1"/>
  <rowBreaks count="1" manualBreakCount="1">
    <brk id="88" max="16383" man="1"/>
  </rowBreaks>
  <customProperties>
    <customPr name="OrphanNamesChecke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E797FA-C2BB-49B0-9A8E-7E99580493D7}">
  <sheetPr>
    <tabColor rgb="FF92D050"/>
    <pageSetUpPr fitToPage="1"/>
  </sheetPr>
  <dimension ref="A1:U96"/>
  <sheetViews>
    <sheetView workbookViewId="0"/>
  </sheetViews>
  <sheetFormatPr defaultRowHeight="15" x14ac:dyDescent="0.25"/>
  <cols>
    <col min="1" max="1" width="6.5703125" customWidth="1"/>
    <col min="2" max="2" width="27.85546875" style="1" customWidth="1"/>
    <col min="3" max="3" width="9.42578125" style="20" customWidth="1"/>
    <col min="4" max="7" width="10" style="2" customWidth="1"/>
    <col min="8" max="8" width="12.85546875" customWidth="1"/>
    <col min="9" max="9" width="11.28515625" customWidth="1"/>
    <col min="10" max="11" width="11.42578125" style="77" customWidth="1"/>
    <col min="12" max="12" width="4.28515625" style="85" customWidth="1"/>
    <col min="13" max="13" width="10" customWidth="1"/>
    <col min="14" max="14" width="8.85546875" customWidth="1"/>
    <col min="15" max="16" width="11.42578125" style="4" customWidth="1"/>
    <col min="17" max="17" width="24.140625" customWidth="1"/>
  </cols>
  <sheetData>
    <row r="1" spans="1:21" s="18" customFormat="1" ht="39" customHeight="1" x14ac:dyDescent="0.55000000000000004">
      <c r="A1" s="9" t="s">
        <v>232</v>
      </c>
      <c r="B1" s="10"/>
      <c r="C1" s="10"/>
      <c r="D1" s="6"/>
      <c r="E1" s="6"/>
      <c r="F1" s="6"/>
      <c r="G1" s="6"/>
      <c r="H1" s="163" t="s">
        <v>232</v>
      </c>
      <c r="I1" s="163"/>
      <c r="J1" s="163"/>
      <c r="K1" s="12"/>
      <c r="L1" s="16"/>
      <c r="M1" s="17" t="s">
        <v>12</v>
      </c>
      <c r="N1" s="17" t="s">
        <v>14</v>
      </c>
      <c r="O1" s="17" t="s">
        <v>207</v>
      </c>
      <c r="P1" s="17" t="s">
        <v>234</v>
      </c>
      <c r="Q1" s="5" t="s">
        <v>235</v>
      </c>
      <c r="R1" s="5" t="s">
        <v>236</v>
      </c>
    </row>
    <row r="2" spans="1:21" ht="18.75" x14ac:dyDescent="0.4">
      <c r="A2" s="19" t="s">
        <v>237</v>
      </c>
      <c r="D2" s="1"/>
      <c r="G2" s="113" t="s">
        <v>257</v>
      </c>
      <c r="H2" s="22" t="s">
        <v>238</v>
      </c>
      <c r="I2" s="22" t="s">
        <v>239</v>
      </c>
      <c r="J2" s="73" t="s">
        <v>240</v>
      </c>
      <c r="K2" s="73" t="s">
        <v>258</v>
      </c>
      <c r="L2" s="281" t="s">
        <v>384</v>
      </c>
      <c r="M2" s="25"/>
      <c r="N2" s="25"/>
      <c r="O2" s="25"/>
      <c r="P2" s="25"/>
    </row>
    <row r="3" spans="1:21" s="5" customFormat="1" x14ac:dyDescent="0.25">
      <c r="A3" s="19" t="s">
        <v>241</v>
      </c>
      <c r="B3" s="8"/>
      <c r="C3" s="8" t="s">
        <v>242</v>
      </c>
      <c r="D3" s="8"/>
      <c r="E3" s="26"/>
      <c r="F3" s="26" t="s">
        <v>255</v>
      </c>
      <c r="G3" s="114" t="s">
        <v>259</v>
      </c>
      <c r="H3" s="8" t="s">
        <v>54</v>
      </c>
      <c r="I3" s="8" t="s">
        <v>54</v>
      </c>
      <c r="J3" s="74" t="s">
        <v>54</v>
      </c>
      <c r="K3" s="74" t="s">
        <v>259</v>
      </c>
      <c r="L3" s="281"/>
      <c r="M3" s="8" t="s">
        <v>3</v>
      </c>
      <c r="N3" s="8" t="s">
        <v>3</v>
      </c>
      <c r="O3" s="3"/>
      <c r="P3" s="3"/>
    </row>
    <row r="4" spans="1:21" s="5" customFormat="1" x14ac:dyDescent="0.25">
      <c r="A4" s="5" t="s">
        <v>243</v>
      </c>
      <c r="B4" s="29" t="s">
        <v>13</v>
      </c>
      <c r="C4" s="29" t="s">
        <v>244</v>
      </c>
      <c r="D4" s="30" t="s">
        <v>10</v>
      </c>
      <c r="E4" s="30" t="s">
        <v>11</v>
      </c>
      <c r="F4" s="30" t="s">
        <v>256</v>
      </c>
      <c r="G4" s="115" t="s">
        <v>261</v>
      </c>
      <c r="H4" s="29" t="s">
        <v>3</v>
      </c>
      <c r="I4" s="29" t="s">
        <v>4</v>
      </c>
      <c r="J4" s="29" t="s">
        <v>6</v>
      </c>
      <c r="K4" s="29" t="s">
        <v>260</v>
      </c>
      <c r="L4" s="282"/>
      <c r="M4" s="29" t="s">
        <v>5</v>
      </c>
      <c r="N4" s="29" t="s">
        <v>4</v>
      </c>
      <c r="O4" s="3"/>
      <c r="P4" s="3"/>
    </row>
    <row r="5" spans="1:21" s="34" customFormat="1" ht="18.75" x14ac:dyDescent="0.4">
      <c r="A5" s="33" t="s">
        <v>254</v>
      </c>
      <c r="C5" s="35"/>
      <c r="D5" s="36"/>
      <c r="E5" s="36"/>
      <c r="F5" s="36"/>
      <c r="G5" s="36"/>
      <c r="H5" s="35"/>
      <c r="I5" s="35"/>
      <c r="J5" s="75"/>
      <c r="K5" s="75"/>
      <c r="L5" s="81"/>
      <c r="M5" s="35"/>
      <c r="N5" s="35"/>
    </row>
    <row r="6" spans="1:21" s="46" customFormat="1" x14ac:dyDescent="0.25">
      <c r="A6" s="39" t="s">
        <v>245</v>
      </c>
      <c r="B6" s="40" t="s">
        <v>86</v>
      </c>
      <c r="C6" s="41" t="s">
        <v>87</v>
      </c>
      <c r="D6" s="42">
        <v>44927</v>
      </c>
      <c r="E6" s="42">
        <v>45291</v>
      </c>
      <c r="F6" s="42">
        <f t="shared" ref="F6:F42" si="0">((D6+E6)/2)-2</f>
        <v>45107</v>
      </c>
      <c r="G6" s="112">
        <f>_xlfn.XLOOKUP(F6,'A-6 CMS Market Basket Index '!$AZ$3:$AZ$8,'A-6 CMS Market Basket Index '!$BF$3:$BF$8)</f>
        <v>1.0538000000000001</v>
      </c>
      <c r="H6" s="44">
        <v>2</v>
      </c>
      <c r="I6" s="44">
        <v>7</v>
      </c>
      <c r="J6" s="65">
        <v>0.28999999999999998</v>
      </c>
      <c r="K6" s="76">
        <f t="shared" ref="K6:K37" si="1">IF(J6="","",J6*$G6)</f>
        <v>0.30560199999999998</v>
      </c>
      <c r="L6" s="51" t="str">
        <f>IF($K$96&lt;0,"",IF(K6&lt;$K$96,"OL",""))</f>
        <v/>
      </c>
      <c r="M6" s="46" t="s">
        <v>50</v>
      </c>
      <c r="N6" s="46">
        <v>84341</v>
      </c>
      <c r="O6" s="69" t="s">
        <v>210</v>
      </c>
      <c r="P6" s="70" t="s">
        <v>209</v>
      </c>
      <c r="R6" s="47"/>
      <c r="S6" s="267"/>
      <c r="T6" s="48"/>
      <c r="U6" s="48"/>
    </row>
    <row r="7" spans="1:21" s="46" customFormat="1" x14ac:dyDescent="0.25">
      <c r="A7" s="39" t="s">
        <v>245</v>
      </c>
      <c r="B7" s="40" t="s">
        <v>143</v>
      </c>
      <c r="C7" s="41" t="s">
        <v>144</v>
      </c>
      <c r="D7" s="42">
        <v>44927</v>
      </c>
      <c r="E7" s="42">
        <v>45291</v>
      </c>
      <c r="F7" s="42">
        <f t="shared" si="0"/>
        <v>45107</v>
      </c>
      <c r="G7" s="112">
        <f>_xlfn.XLOOKUP(F7,'A-6 CMS Market Basket Index '!$AZ$3:$AZ$8,'A-6 CMS Market Basket Index '!$BF$3:$BF$8)</f>
        <v>1.0538000000000001</v>
      </c>
      <c r="H7" s="44">
        <v>342</v>
      </c>
      <c r="I7" s="44">
        <v>21</v>
      </c>
      <c r="J7" s="65">
        <v>16.29</v>
      </c>
      <c r="K7" s="76">
        <f t="shared" si="1"/>
        <v>17.166402000000001</v>
      </c>
      <c r="L7" s="51" t="str">
        <f t="shared" ref="L7:L20" si="2">IF($K$96&lt;0,"",IF(K7&lt;$K$96,"OL",""))</f>
        <v/>
      </c>
      <c r="M7" s="46" t="s">
        <v>50</v>
      </c>
      <c r="N7" s="46">
        <v>84341</v>
      </c>
      <c r="O7" s="69" t="s">
        <v>210</v>
      </c>
      <c r="P7" s="70" t="s">
        <v>209</v>
      </c>
      <c r="R7" s="47"/>
      <c r="S7" s="267"/>
      <c r="T7" s="48"/>
      <c r="U7" s="48"/>
    </row>
    <row r="8" spans="1:21" s="46" customFormat="1" x14ac:dyDescent="0.25">
      <c r="A8" s="39" t="s">
        <v>245</v>
      </c>
      <c r="B8" s="40" t="s">
        <v>160</v>
      </c>
      <c r="C8" s="41" t="s">
        <v>161</v>
      </c>
      <c r="D8" s="42">
        <v>44927</v>
      </c>
      <c r="E8" s="42">
        <v>45291</v>
      </c>
      <c r="F8" s="42">
        <f t="shared" si="0"/>
        <v>45107</v>
      </c>
      <c r="G8" s="112">
        <f>_xlfn.XLOOKUP(F8,'A-6 CMS Market Basket Index '!$AZ$3:$AZ$8,'A-6 CMS Market Basket Index '!$BF$3:$BF$8)</f>
        <v>1.0538000000000001</v>
      </c>
      <c r="H8" s="44">
        <v>487</v>
      </c>
      <c r="I8" s="44">
        <v>20</v>
      </c>
      <c r="J8" s="65">
        <v>24.35</v>
      </c>
      <c r="K8" s="76">
        <f t="shared" si="1"/>
        <v>25.660030000000003</v>
      </c>
      <c r="L8" s="51" t="str">
        <f t="shared" si="2"/>
        <v/>
      </c>
      <c r="M8" s="46" t="s">
        <v>62</v>
      </c>
      <c r="N8" s="46">
        <v>84770</v>
      </c>
      <c r="O8" s="69" t="s">
        <v>223</v>
      </c>
      <c r="P8" s="70" t="s">
        <v>209</v>
      </c>
      <c r="R8" s="47"/>
      <c r="S8" s="267"/>
      <c r="T8" s="48"/>
      <c r="U8" s="48"/>
    </row>
    <row r="9" spans="1:21" s="46" customFormat="1" x14ac:dyDescent="0.25">
      <c r="A9" s="39" t="s">
        <v>245</v>
      </c>
      <c r="B9" s="40" t="s">
        <v>134</v>
      </c>
      <c r="C9" s="41" t="s">
        <v>135</v>
      </c>
      <c r="D9" s="42">
        <v>44927</v>
      </c>
      <c r="E9" s="42">
        <v>45291</v>
      </c>
      <c r="F9" s="42">
        <f t="shared" si="0"/>
        <v>45107</v>
      </c>
      <c r="G9" s="112">
        <f>_xlfn.XLOOKUP(F9,'A-6 CMS Market Basket Index '!$AZ$3:$AZ$8,'A-6 CMS Market Basket Index '!$BF$3:$BF$8)</f>
        <v>1.0538000000000001</v>
      </c>
      <c r="H9" s="44">
        <v>932</v>
      </c>
      <c r="I9" s="44">
        <v>38</v>
      </c>
      <c r="J9" s="65">
        <v>24.53</v>
      </c>
      <c r="K9" s="76">
        <f t="shared" si="1"/>
        <v>25.849714000000002</v>
      </c>
      <c r="L9" s="51" t="str">
        <f t="shared" si="2"/>
        <v/>
      </c>
      <c r="M9" s="46" t="s">
        <v>17</v>
      </c>
      <c r="N9" s="46">
        <v>84057</v>
      </c>
      <c r="O9" s="69" t="s">
        <v>15</v>
      </c>
      <c r="P9" s="70" t="s">
        <v>213</v>
      </c>
      <c r="R9" s="47"/>
      <c r="S9" s="267"/>
      <c r="T9" s="48"/>
      <c r="U9" s="48"/>
    </row>
    <row r="10" spans="1:21" s="46" customFormat="1" x14ac:dyDescent="0.25">
      <c r="A10" s="39" t="s">
        <v>245</v>
      </c>
      <c r="B10" s="40" t="s">
        <v>156</v>
      </c>
      <c r="C10" s="41" t="s">
        <v>157</v>
      </c>
      <c r="D10" s="42">
        <v>44927</v>
      </c>
      <c r="E10" s="42">
        <v>45291</v>
      </c>
      <c r="F10" s="42">
        <f t="shared" si="0"/>
        <v>45107</v>
      </c>
      <c r="G10" s="112">
        <f>_xlfn.XLOOKUP(F10,'A-6 CMS Market Basket Index '!$AZ$3:$AZ$8,'A-6 CMS Market Basket Index '!$BF$3:$BF$8)</f>
        <v>1.0538000000000001</v>
      </c>
      <c r="H10" s="44">
        <v>1338</v>
      </c>
      <c r="I10" s="44">
        <v>28</v>
      </c>
      <c r="J10" s="65">
        <v>47.79</v>
      </c>
      <c r="K10" s="76">
        <f t="shared" si="1"/>
        <v>50.361102000000002</v>
      </c>
      <c r="L10" s="51" t="str">
        <f t="shared" si="2"/>
        <v/>
      </c>
      <c r="M10" s="46" t="s">
        <v>40</v>
      </c>
      <c r="N10" s="46">
        <v>84405</v>
      </c>
      <c r="O10" s="69" t="s">
        <v>224</v>
      </c>
      <c r="P10" s="70" t="s">
        <v>213</v>
      </c>
      <c r="R10" s="47"/>
      <c r="S10" s="267"/>
      <c r="T10" s="48"/>
      <c r="U10" s="48"/>
    </row>
    <row r="11" spans="1:21" s="46" customFormat="1" x14ac:dyDescent="0.25">
      <c r="A11" s="39" t="s">
        <v>245</v>
      </c>
      <c r="B11" s="40" t="s">
        <v>81</v>
      </c>
      <c r="C11" s="41" t="s">
        <v>82</v>
      </c>
      <c r="D11" s="42">
        <v>44927</v>
      </c>
      <c r="E11" s="42">
        <v>45291</v>
      </c>
      <c r="F11" s="42">
        <f t="shared" si="0"/>
        <v>45107</v>
      </c>
      <c r="G11" s="112">
        <f>_xlfn.XLOOKUP(F11,'A-6 CMS Market Basket Index '!$AZ$3:$AZ$8,'A-6 CMS Market Basket Index '!$BF$3:$BF$8)</f>
        <v>1.0538000000000001</v>
      </c>
      <c r="H11" s="44">
        <v>6740</v>
      </c>
      <c r="I11" s="44">
        <v>141</v>
      </c>
      <c r="J11" s="65">
        <v>47.8</v>
      </c>
      <c r="K11" s="76">
        <f t="shared" si="1"/>
        <v>50.371639999999999</v>
      </c>
      <c r="L11" s="51" t="str">
        <f t="shared" si="2"/>
        <v/>
      </c>
      <c r="M11" s="46" t="s">
        <v>83</v>
      </c>
      <c r="N11" s="46">
        <v>84041</v>
      </c>
      <c r="O11" s="69" t="s">
        <v>212</v>
      </c>
      <c r="P11" s="70" t="s">
        <v>213</v>
      </c>
      <c r="R11" s="47"/>
      <c r="S11" s="267"/>
      <c r="T11" s="48"/>
      <c r="U11" s="48"/>
    </row>
    <row r="12" spans="1:21" s="46" customFormat="1" x14ac:dyDescent="0.25">
      <c r="A12" s="39" t="s">
        <v>245</v>
      </c>
      <c r="B12" s="40" t="s">
        <v>185</v>
      </c>
      <c r="C12" s="41" t="s">
        <v>186</v>
      </c>
      <c r="D12" s="42">
        <v>44927</v>
      </c>
      <c r="E12" s="42">
        <v>45291</v>
      </c>
      <c r="F12" s="42">
        <f t="shared" si="0"/>
        <v>45107</v>
      </c>
      <c r="G12" s="112">
        <f>_xlfn.XLOOKUP(F12,'A-6 CMS Market Basket Index '!$AZ$3:$AZ$8,'A-6 CMS Market Basket Index '!$BF$3:$BF$8)</f>
        <v>1.0538000000000001</v>
      </c>
      <c r="H12" s="44">
        <v>3936</v>
      </c>
      <c r="I12" s="44">
        <v>51</v>
      </c>
      <c r="J12" s="65">
        <v>77.180000000000007</v>
      </c>
      <c r="K12" s="76">
        <f t="shared" si="1"/>
        <v>81.332284000000016</v>
      </c>
      <c r="L12" s="51" t="str">
        <f t="shared" si="2"/>
        <v/>
      </c>
      <c r="M12" s="46" t="s">
        <v>39</v>
      </c>
      <c r="N12" s="46">
        <v>84041</v>
      </c>
      <c r="O12" s="69" t="s">
        <v>212</v>
      </c>
      <c r="P12" s="70" t="s">
        <v>213</v>
      </c>
      <c r="R12" s="47"/>
      <c r="S12" s="267"/>
      <c r="T12" s="48"/>
      <c r="U12" s="48"/>
    </row>
    <row r="13" spans="1:21" s="46" customFormat="1" x14ac:dyDescent="0.25">
      <c r="A13" s="39" t="s">
        <v>245</v>
      </c>
      <c r="B13" s="40" t="s">
        <v>200</v>
      </c>
      <c r="C13" s="41" t="s">
        <v>198</v>
      </c>
      <c r="D13" s="42">
        <v>44927</v>
      </c>
      <c r="E13" s="42">
        <v>45291</v>
      </c>
      <c r="F13" s="42">
        <f t="shared" si="0"/>
        <v>45107</v>
      </c>
      <c r="G13" s="112">
        <f>_xlfn.XLOOKUP(F13,'A-6 CMS Market Basket Index '!$AZ$3:$AZ$8,'A-6 CMS Market Basket Index '!$BF$3:$BF$8)</f>
        <v>1.0538000000000001</v>
      </c>
      <c r="H13" s="44">
        <v>675</v>
      </c>
      <c r="I13" s="44">
        <v>8</v>
      </c>
      <c r="J13" s="65">
        <v>84.38</v>
      </c>
      <c r="K13" s="76">
        <f t="shared" si="1"/>
        <v>88.919644000000005</v>
      </c>
      <c r="L13" s="51" t="str">
        <f t="shared" si="2"/>
        <v/>
      </c>
      <c r="M13" s="46" t="s">
        <v>199</v>
      </c>
      <c r="N13" s="46">
        <v>84780</v>
      </c>
      <c r="O13" s="69" t="s">
        <v>223</v>
      </c>
      <c r="P13" s="70" t="s">
        <v>209</v>
      </c>
      <c r="R13" s="47"/>
      <c r="S13" s="267"/>
      <c r="T13" s="48"/>
      <c r="U13" s="48"/>
    </row>
    <row r="14" spans="1:21" s="46" customFormat="1" x14ac:dyDescent="0.25">
      <c r="A14" s="39" t="s">
        <v>245</v>
      </c>
      <c r="B14" s="40" t="s">
        <v>105</v>
      </c>
      <c r="C14" s="41" t="s">
        <v>106</v>
      </c>
      <c r="D14" s="42">
        <v>44927</v>
      </c>
      <c r="E14" s="42">
        <v>45291</v>
      </c>
      <c r="F14" s="42">
        <f t="shared" si="0"/>
        <v>45107</v>
      </c>
      <c r="G14" s="112">
        <f>_xlfn.XLOOKUP(F14,'A-6 CMS Market Basket Index '!$AZ$3:$AZ$8,'A-6 CMS Market Basket Index '!$BF$3:$BF$8)</f>
        <v>1.0538000000000001</v>
      </c>
      <c r="H14" s="44">
        <v>614</v>
      </c>
      <c r="I14" s="44">
        <v>7</v>
      </c>
      <c r="J14" s="65">
        <v>87.71</v>
      </c>
      <c r="K14" s="76">
        <f t="shared" si="1"/>
        <v>92.428798</v>
      </c>
      <c r="L14" s="51" t="str">
        <f t="shared" si="2"/>
        <v/>
      </c>
      <c r="M14" s="46" t="s">
        <v>49</v>
      </c>
      <c r="N14" s="46">
        <v>84003</v>
      </c>
      <c r="O14" s="69" t="s">
        <v>15</v>
      </c>
      <c r="P14" s="70" t="s">
        <v>213</v>
      </c>
      <c r="R14" s="47"/>
      <c r="S14" s="267"/>
      <c r="T14" s="48"/>
      <c r="U14" s="48"/>
    </row>
    <row r="15" spans="1:21" s="46" customFormat="1" x14ac:dyDescent="0.25">
      <c r="A15" s="39" t="s">
        <v>245</v>
      </c>
      <c r="B15" s="40" t="s">
        <v>187</v>
      </c>
      <c r="C15" s="41" t="s">
        <v>188</v>
      </c>
      <c r="D15" s="42">
        <v>44927</v>
      </c>
      <c r="E15" s="42">
        <v>45291</v>
      </c>
      <c r="F15" s="42">
        <f t="shared" si="0"/>
        <v>45107</v>
      </c>
      <c r="G15" s="112">
        <f>_xlfn.XLOOKUP(F15,'A-6 CMS Market Basket Index '!$AZ$3:$AZ$8,'A-6 CMS Market Basket Index '!$BF$3:$BF$8)</f>
        <v>1.0538000000000001</v>
      </c>
      <c r="H15" s="44">
        <v>1191</v>
      </c>
      <c r="I15" s="44">
        <v>13</v>
      </c>
      <c r="J15" s="65">
        <v>91.62</v>
      </c>
      <c r="K15" s="76">
        <f t="shared" si="1"/>
        <v>96.549156000000011</v>
      </c>
      <c r="L15" s="51" t="str">
        <f t="shared" si="2"/>
        <v/>
      </c>
      <c r="M15" s="46" t="s">
        <v>18</v>
      </c>
      <c r="N15" s="46">
        <v>84105</v>
      </c>
      <c r="O15" s="69" t="s">
        <v>218</v>
      </c>
      <c r="P15" s="70" t="s">
        <v>209</v>
      </c>
      <c r="R15" s="47"/>
      <c r="S15" s="267"/>
      <c r="T15" s="48"/>
      <c r="U15" s="48"/>
    </row>
    <row r="16" spans="1:21" s="46" customFormat="1" x14ac:dyDescent="0.25">
      <c r="A16" s="39" t="s">
        <v>245</v>
      </c>
      <c r="B16" s="40" t="s">
        <v>154</v>
      </c>
      <c r="C16" s="41" t="s">
        <v>155</v>
      </c>
      <c r="D16" s="42">
        <v>44927</v>
      </c>
      <c r="E16" s="42">
        <v>45291</v>
      </c>
      <c r="F16" s="42">
        <f t="shared" si="0"/>
        <v>45107</v>
      </c>
      <c r="G16" s="112">
        <f>_xlfn.XLOOKUP(F16,'A-6 CMS Market Basket Index '!$AZ$3:$AZ$8,'A-6 CMS Market Basket Index '!$BF$3:$BF$8)</f>
        <v>1.0538000000000001</v>
      </c>
      <c r="H16" s="44">
        <v>2475</v>
      </c>
      <c r="I16" s="44">
        <v>26</v>
      </c>
      <c r="J16" s="65">
        <v>95.19</v>
      </c>
      <c r="K16" s="76">
        <f t="shared" si="1"/>
        <v>100.311222</v>
      </c>
      <c r="L16" s="51" t="str">
        <f t="shared" si="2"/>
        <v/>
      </c>
      <c r="M16" s="46" t="s">
        <v>47</v>
      </c>
      <c r="N16" s="46">
        <v>84341</v>
      </c>
      <c r="O16" s="69" t="s">
        <v>210</v>
      </c>
      <c r="P16" s="70" t="s">
        <v>209</v>
      </c>
      <c r="R16" s="47"/>
      <c r="S16" s="267"/>
      <c r="T16" s="48"/>
      <c r="U16" s="48"/>
    </row>
    <row r="17" spans="1:21" s="46" customFormat="1" x14ac:dyDescent="0.25">
      <c r="A17" s="39" t="s">
        <v>245</v>
      </c>
      <c r="B17" s="40" t="s">
        <v>169</v>
      </c>
      <c r="C17" s="41" t="s">
        <v>170</v>
      </c>
      <c r="D17" s="42">
        <v>44927</v>
      </c>
      <c r="E17" s="42">
        <v>45291</v>
      </c>
      <c r="F17" s="42">
        <f t="shared" si="0"/>
        <v>45107</v>
      </c>
      <c r="G17" s="112">
        <f>_xlfn.XLOOKUP(F17,'A-6 CMS Market Basket Index '!$AZ$3:$AZ$8,'A-6 CMS Market Basket Index '!$BF$3:$BF$8)</f>
        <v>1.0538000000000001</v>
      </c>
      <c r="H17" s="44">
        <v>1147</v>
      </c>
      <c r="I17" s="44">
        <v>12</v>
      </c>
      <c r="J17" s="65">
        <v>95.58</v>
      </c>
      <c r="K17" s="76">
        <f t="shared" si="1"/>
        <v>100.722204</v>
      </c>
      <c r="L17" s="51" t="str">
        <f t="shared" si="2"/>
        <v/>
      </c>
      <c r="M17" s="46" t="s">
        <v>45</v>
      </c>
      <c r="N17" s="46">
        <v>84020</v>
      </c>
      <c r="O17" s="69" t="s">
        <v>218</v>
      </c>
      <c r="P17" s="70" t="s">
        <v>209</v>
      </c>
      <c r="R17" s="47"/>
      <c r="S17" s="267"/>
      <c r="T17" s="48"/>
      <c r="U17" s="48"/>
    </row>
    <row r="18" spans="1:21" s="46" customFormat="1" x14ac:dyDescent="0.25">
      <c r="A18" s="39" t="s">
        <v>245</v>
      </c>
      <c r="B18" s="40" t="s">
        <v>133</v>
      </c>
      <c r="C18" s="41" t="s">
        <v>92</v>
      </c>
      <c r="D18" s="42">
        <v>44927</v>
      </c>
      <c r="E18" s="42">
        <v>45291</v>
      </c>
      <c r="F18" s="42">
        <f t="shared" si="0"/>
        <v>45107</v>
      </c>
      <c r="G18" s="112">
        <f>_xlfn.XLOOKUP(F18,'A-6 CMS Market Basket Index '!$AZ$3:$AZ$8,'A-6 CMS Market Basket Index '!$BF$3:$BF$8)</f>
        <v>1.0538000000000001</v>
      </c>
      <c r="H18" s="44">
        <v>8094</v>
      </c>
      <c r="I18" s="44">
        <v>67</v>
      </c>
      <c r="J18" s="65">
        <v>120.81</v>
      </c>
      <c r="K18" s="76">
        <f t="shared" si="1"/>
        <v>127.30957800000002</v>
      </c>
      <c r="L18" s="51" t="str">
        <f t="shared" si="2"/>
        <v/>
      </c>
      <c r="M18" s="46" t="s">
        <v>52</v>
      </c>
      <c r="N18" s="46">
        <v>84790</v>
      </c>
      <c r="O18" s="69" t="s">
        <v>223</v>
      </c>
      <c r="P18" s="70" t="s">
        <v>209</v>
      </c>
      <c r="R18" s="47"/>
      <c r="S18" s="267"/>
      <c r="T18" s="48"/>
      <c r="U18" s="48"/>
    </row>
    <row r="19" spans="1:21" s="46" customFormat="1" x14ac:dyDescent="0.25">
      <c r="A19" s="39" t="s">
        <v>245</v>
      </c>
      <c r="B19" s="40" t="s">
        <v>195</v>
      </c>
      <c r="C19" s="41" t="s">
        <v>194</v>
      </c>
      <c r="D19" s="42">
        <v>44927</v>
      </c>
      <c r="E19" s="42">
        <v>45291</v>
      </c>
      <c r="F19" s="42">
        <f t="shared" si="0"/>
        <v>45107</v>
      </c>
      <c r="G19" s="112">
        <f>_xlfn.XLOOKUP(F19,'A-6 CMS Market Basket Index '!$AZ$3:$AZ$8,'A-6 CMS Market Basket Index '!$BF$3:$BF$8)</f>
        <v>1.0538000000000001</v>
      </c>
      <c r="H19" s="44">
        <v>864</v>
      </c>
      <c r="I19" s="44">
        <v>7</v>
      </c>
      <c r="J19" s="65">
        <v>123.43</v>
      </c>
      <c r="K19" s="76">
        <f t="shared" si="1"/>
        <v>130.07053400000001</v>
      </c>
      <c r="L19" s="51" t="str">
        <f t="shared" si="2"/>
        <v/>
      </c>
      <c r="M19" s="46" t="s">
        <v>50</v>
      </c>
      <c r="N19" s="46">
        <v>84321</v>
      </c>
      <c r="O19" s="69" t="s">
        <v>210</v>
      </c>
      <c r="P19" s="70" t="s">
        <v>209</v>
      </c>
      <c r="R19" s="47"/>
      <c r="S19" s="267"/>
      <c r="T19" s="48"/>
      <c r="U19" s="48"/>
    </row>
    <row r="20" spans="1:21" s="46" customFormat="1" x14ac:dyDescent="0.25">
      <c r="A20" s="39" t="s">
        <v>245</v>
      </c>
      <c r="B20" s="40" t="s">
        <v>119</v>
      </c>
      <c r="C20" s="41" t="s">
        <v>120</v>
      </c>
      <c r="D20" s="42">
        <v>44927</v>
      </c>
      <c r="E20" s="42">
        <v>45291</v>
      </c>
      <c r="F20" s="42">
        <f t="shared" si="0"/>
        <v>45107</v>
      </c>
      <c r="G20" s="112">
        <f>_xlfn.XLOOKUP(F20,'A-6 CMS Market Basket Index '!$AZ$3:$AZ$8,'A-6 CMS Market Basket Index '!$BF$3:$BF$8)</f>
        <v>1.0538000000000001</v>
      </c>
      <c r="H20" s="44">
        <v>42566</v>
      </c>
      <c r="I20" s="44">
        <v>339</v>
      </c>
      <c r="J20" s="65">
        <v>125.56</v>
      </c>
      <c r="K20" s="76">
        <f t="shared" si="1"/>
        <v>132.31512800000002</v>
      </c>
      <c r="L20" s="51" t="str">
        <f t="shared" si="2"/>
        <v/>
      </c>
      <c r="M20" s="46" t="s">
        <v>104</v>
      </c>
      <c r="N20" s="46">
        <v>84119</v>
      </c>
      <c r="O20" s="69" t="s">
        <v>218</v>
      </c>
      <c r="P20" s="70" t="s">
        <v>209</v>
      </c>
      <c r="R20" s="47"/>
      <c r="S20" s="267"/>
      <c r="T20" s="48"/>
      <c r="U20" s="48"/>
    </row>
    <row r="21" spans="1:21" s="46" customFormat="1" x14ac:dyDescent="0.25">
      <c r="A21" s="39" t="s">
        <v>245</v>
      </c>
      <c r="B21" s="40" t="s">
        <v>58</v>
      </c>
      <c r="C21" s="41" t="s">
        <v>59</v>
      </c>
      <c r="D21" s="42">
        <v>44927</v>
      </c>
      <c r="E21" s="42">
        <v>45291</v>
      </c>
      <c r="F21" s="42">
        <f t="shared" si="0"/>
        <v>45107</v>
      </c>
      <c r="G21" s="112">
        <f>_xlfn.XLOOKUP(F21,'A-6 CMS Market Basket Index '!$AZ$3:$AZ$8,'A-6 CMS Market Basket Index '!$BF$3:$BF$8)</f>
        <v>1.0538000000000001</v>
      </c>
      <c r="H21" s="44">
        <v>2126</v>
      </c>
      <c r="I21" s="44">
        <v>16</v>
      </c>
      <c r="J21" s="65">
        <v>132.88</v>
      </c>
      <c r="K21" s="76">
        <f t="shared" si="1"/>
        <v>140.028944</v>
      </c>
      <c r="L21" s="51"/>
      <c r="M21" s="46" t="s">
        <v>42</v>
      </c>
      <c r="N21" s="46">
        <v>84070</v>
      </c>
      <c r="O21" s="69" t="s">
        <v>218</v>
      </c>
      <c r="P21" s="70" t="s">
        <v>209</v>
      </c>
      <c r="R21" s="47"/>
      <c r="S21" s="267"/>
      <c r="T21" s="48"/>
      <c r="U21" s="48"/>
    </row>
    <row r="22" spans="1:21" s="46" customFormat="1" x14ac:dyDescent="0.25">
      <c r="A22" s="39" t="s">
        <v>245</v>
      </c>
      <c r="B22" s="40" t="s">
        <v>151</v>
      </c>
      <c r="C22" s="41" t="s">
        <v>150</v>
      </c>
      <c r="D22" s="42">
        <v>44927</v>
      </c>
      <c r="E22" s="42">
        <v>45291</v>
      </c>
      <c r="F22" s="42">
        <f t="shared" si="0"/>
        <v>45107</v>
      </c>
      <c r="G22" s="112">
        <f>_xlfn.XLOOKUP(F22,'A-6 CMS Market Basket Index '!$AZ$3:$AZ$8,'A-6 CMS Market Basket Index '!$BF$3:$BF$8)</f>
        <v>1.0538000000000001</v>
      </c>
      <c r="H22" s="44">
        <v>12320</v>
      </c>
      <c r="I22" s="44">
        <v>90</v>
      </c>
      <c r="J22" s="65">
        <v>136.88999999999999</v>
      </c>
      <c r="K22" s="76">
        <f t="shared" si="1"/>
        <v>144.254682</v>
      </c>
      <c r="L22" s="51"/>
      <c r="M22" s="46" t="s">
        <v>97</v>
      </c>
      <c r="N22" s="46">
        <v>84015</v>
      </c>
      <c r="O22" s="69" t="s">
        <v>212</v>
      </c>
      <c r="P22" s="70" t="s">
        <v>213</v>
      </c>
      <c r="R22" s="47"/>
      <c r="S22" s="267"/>
      <c r="T22" s="48"/>
      <c r="U22" s="48"/>
    </row>
    <row r="23" spans="1:21" s="46" customFormat="1" x14ac:dyDescent="0.25">
      <c r="A23" s="39" t="s">
        <v>245</v>
      </c>
      <c r="B23" s="40" t="s">
        <v>65</v>
      </c>
      <c r="C23" s="41" t="s">
        <v>66</v>
      </c>
      <c r="D23" s="42">
        <v>44927</v>
      </c>
      <c r="E23" s="42">
        <v>45291</v>
      </c>
      <c r="F23" s="42">
        <f t="shared" si="0"/>
        <v>45107</v>
      </c>
      <c r="G23" s="112">
        <f>_xlfn.XLOOKUP(F23,'A-6 CMS Market Basket Index '!$AZ$3:$AZ$8,'A-6 CMS Market Basket Index '!$BF$3:$BF$8)</f>
        <v>1.0538000000000001</v>
      </c>
      <c r="H23" s="44">
        <v>139</v>
      </c>
      <c r="I23" s="44">
        <v>1</v>
      </c>
      <c r="J23" s="65">
        <v>139</v>
      </c>
      <c r="K23" s="76">
        <f t="shared" si="1"/>
        <v>146.47820000000002</v>
      </c>
      <c r="L23" s="51"/>
      <c r="M23" s="46" t="s">
        <v>39</v>
      </c>
      <c r="N23" s="46">
        <v>84041</v>
      </c>
      <c r="O23" s="69" t="s">
        <v>212</v>
      </c>
      <c r="P23" s="70" t="s">
        <v>213</v>
      </c>
      <c r="R23" s="47"/>
      <c r="S23" s="267"/>
      <c r="T23" s="48"/>
      <c r="U23" s="48"/>
    </row>
    <row r="24" spans="1:21" s="46" customFormat="1" x14ac:dyDescent="0.25">
      <c r="A24" s="39" t="s">
        <v>245</v>
      </c>
      <c r="B24" s="40" t="s">
        <v>95</v>
      </c>
      <c r="C24" s="41" t="s">
        <v>96</v>
      </c>
      <c r="D24" s="42">
        <v>44927</v>
      </c>
      <c r="E24" s="42">
        <v>45291</v>
      </c>
      <c r="F24" s="42">
        <f t="shared" si="0"/>
        <v>45107</v>
      </c>
      <c r="G24" s="112">
        <f>_xlfn.XLOOKUP(F24,'A-6 CMS Market Basket Index '!$AZ$3:$AZ$8,'A-6 CMS Market Basket Index '!$BF$3:$BF$8)</f>
        <v>1.0538000000000001</v>
      </c>
      <c r="H24" s="44">
        <v>581</v>
      </c>
      <c r="I24" s="44">
        <v>4</v>
      </c>
      <c r="J24" s="65">
        <v>145.25</v>
      </c>
      <c r="K24" s="76">
        <f t="shared" si="1"/>
        <v>153.06445000000002</v>
      </c>
      <c r="L24" s="51"/>
      <c r="M24" s="46" t="s">
        <v>97</v>
      </c>
      <c r="N24" s="46">
        <v>84015</v>
      </c>
      <c r="O24" s="69" t="s">
        <v>212</v>
      </c>
      <c r="P24" s="70" t="s">
        <v>213</v>
      </c>
      <c r="R24" s="47"/>
      <c r="S24" s="267"/>
      <c r="T24" s="48"/>
      <c r="U24" s="48"/>
    </row>
    <row r="25" spans="1:21" s="46" customFormat="1" x14ac:dyDescent="0.25">
      <c r="A25" s="39" t="s">
        <v>245</v>
      </c>
      <c r="B25" s="40" t="s">
        <v>115</v>
      </c>
      <c r="C25" s="41" t="s">
        <v>113</v>
      </c>
      <c r="D25" s="42">
        <v>44927</v>
      </c>
      <c r="E25" s="42">
        <v>45291</v>
      </c>
      <c r="F25" s="42">
        <f t="shared" si="0"/>
        <v>45107</v>
      </c>
      <c r="G25" s="112">
        <f>_xlfn.XLOOKUP(F25,'A-6 CMS Market Basket Index '!$AZ$3:$AZ$8,'A-6 CMS Market Basket Index '!$BF$3:$BF$8)</f>
        <v>1.0538000000000001</v>
      </c>
      <c r="H25" s="44">
        <v>12579</v>
      </c>
      <c r="I25" s="44">
        <v>86</v>
      </c>
      <c r="J25" s="65">
        <v>146.27000000000001</v>
      </c>
      <c r="K25" s="76">
        <f t="shared" si="1"/>
        <v>154.13932600000001</v>
      </c>
      <c r="L25" s="51"/>
      <c r="M25" s="46" t="s">
        <v>48</v>
      </c>
      <c r="N25" s="46">
        <v>84123</v>
      </c>
      <c r="O25" s="69" t="s">
        <v>218</v>
      </c>
      <c r="P25" s="70" t="s">
        <v>209</v>
      </c>
      <c r="R25" s="47"/>
      <c r="S25" s="267"/>
      <c r="T25" s="48"/>
      <c r="U25" s="48"/>
    </row>
    <row r="26" spans="1:21" s="46" customFormat="1" x14ac:dyDescent="0.25">
      <c r="A26" s="39" t="s">
        <v>245</v>
      </c>
      <c r="B26" s="40" t="s">
        <v>179</v>
      </c>
      <c r="C26" s="41" t="s">
        <v>178</v>
      </c>
      <c r="D26" s="42">
        <v>44927</v>
      </c>
      <c r="E26" s="42">
        <v>45291</v>
      </c>
      <c r="F26" s="42">
        <f t="shared" si="0"/>
        <v>45107</v>
      </c>
      <c r="G26" s="112">
        <f>_xlfn.XLOOKUP(F26,'A-6 CMS Market Basket Index '!$AZ$3:$AZ$8,'A-6 CMS Market Basket Index '!$BF$3:$BF$8)</f>
        <v>1.0538000000000001</v>
      </c>
      <c r="H26" s="44">
        <v>5465</v>
      </c>
      <c r="I26" s="44">
        <v>37</v>
      </c>
      <c r="J26" s="65">
        <v>147.69999999999999</v>
      </c>
      <c r="K26" s="76">
        <f t="shared" si="1"/>
        <v>155.64626000000001</v>
      </c>
      <c r="L26" s="51"/>
      <c r="M26" s="46" t="s">
        <v>18</v>
      </c>
      <c r="N26" s="46">
        <v>84107</v>
      </c>
      <c r="O26" s="69" t="s">
        <v>218</v>
      </c>
      <c r="P26" s="70" t="s">
        <v>209</v>
      </c>
      <c r="R26" s="47"/>
      <c r="S26" s="267"/>
      <c r="T26" s="48"/>
      <c r="U26" s="48"/>
    </row>
    <row r="27" spans="1:21" s="46" customFormat="1" x14ac:dyDescent="0.25">
      <c r="A27" s="39" t="s">
        <v>245</v>
      </c>
      <c r="B27" s="40" t="s">
        <v>77</v>
      </c>
      <c r="C27" s="41" t="s">
        <v>75</v>
      </c>
      <c r="D27" s="42">
        <v>44927</v>
      </c>
      <c r="E27" s="42">
        <v>45291</v>
      </c>
      <c r="F27" s="42">
        <f t="shared" si="0"/>
        <v>45107</v>
      </c>
      <c r="G27" s="112">
        <f>_xlfn.XLOOKUP(F27,'A-6 CMS Market Basket Index '!$AZ$3:$AZ$8,'A-6 CMS Market Basket Index '!$BF$3:$BF$8)</f>
        <v>1.0538000000000001</v>
      </c>
      <c r="H27" s="44">
        <v>8941</v>
      </c>
      <c r="I27" s="44">
        <v>60</v>
      </c>
      <c r="J27" s="65">
        <v>149.02000000000001</v>
      </c>
      <c r="K27" s="76">
        <f t="shared" si="1"/>
        <v>157.03727600000002</v>
      </c>
      <c r="L27" s="51"/>
      <c r="M27" s="46" t="s">
        <v>76</v>
      </c>
      <c r="N27" s="46">
        <v>84123</v>
      </c>
      <c r="O27" s="69" t="s">
        <v>218</v>
      </c>
      <c r="P27" s="70" t="s">
        <v>209</v>
      </c>
      <c r="R27" s="47"/>
      <c r="S27" s="267"/>
      <c r="T27" s="48"/>
      <c r="U27" s="48"/>
    </row>
    <row r="28" spans="1:21" s="46" customFormat="1" x14ac:dyDescent="0.25">
      <c r="A28" s="39" t="s">
        <v>245</v>
      </c>
      <c r="B28" s="40" t="s">
        <v>180</v>
      </c>
      <c r="C28" s="41" t="s">
        <v>181</v>
      </c>
      <c r="D28" s="42">
        <v>44927</v>
      </c>
      <c r="E28" s="42">
        <v>45291</v>
      </c>
      <c r="F28" s="42">
        <f t="shared" si="0"/>
        <v>45107</v>
      </c>
      <c r="G28" s="112">
        <f>_xlfn.XLOOKUP(F28,'A-6 CMS Market Basket Index '!$AZ$3:$AZ$8,'A-6 CMS Market Basket Index '!$BF$3:$BF$8)</f>
        <v>1.0538000000000001</v>
      </c>
      <c r="H28" s="44">
        <v>13105</v>
      </c>
      <c r="I28" s="44">
        <v>87</v>
      </c>
      <c r="J28" s="65">
        <v>150.63</v>
      </c>
      <c r="K28" s="76">
        <f t="shared" si="1"/>
        <v>158.73389399999999</v>
      </c>
      <c r="L28" s="51"/>
      <c r="M28" s="46" t="s">
        <v>62</v>
      </c>
      <c r="N28" s="46">
        <v>84770</v>
      </c>
      <c r="O28" s="69" t="s">
        <v>223</v>
      </c>
      <c r="P28" s="70" t="s">
        <v>209</v>
      </c>
      <c r="R28" s="47"/>
      <c r="S28" s="267"/>
      <c r="T28" s="48"/>
      <c r="U28" s="48"/>
    </row>
    <row r="29" spans="1:21" s="46" customFormat="1" x14ac:dyDescent="0.25">
      <c r="A29" s="39" t="s">
        <v>245</v>
      </c>
      <c r="B29" s="40" t="s">
        <v>88</v>
      </c>
      <c r="C29" s="41" t="s">
        <v>89</v>
      </c>
      <c r="D29" s="42">
        <v>44927</v>
      </c>
      <c r="E29" s="42">
        <v>45291</v>
      </c>
      <c r="F29" s="42">
        <f t="shared" si="0"/>
        <v>45107</v>
      </c>
      <c r="G29" s="112">
        <f>_xlfn.XLOOKUP(F29,'A-6 CMS Market Basket Index '!$AZ$3:$AZ$8,'A-6 CMS Market Basket Index '!$BF$3:$BF$8)</f>
        <v>1.0538000000000001</v>
      </c>
      <c r="H29" s="44">
        <v>1673</v>
      </c>
      <c r="I29" s="44">
        <v>11</v>
      </c>
      <c r="J29" s="65">
        <v>152.09</v>
      </c>
      <c r="K29" s="76">
        <f t="shared" si="1"/>
        <v>160.27244200000001</v>
      </c>
      <c r="L29" s="51"/>
      <c r="M29" s="46" t="s">
        <v>48</v>
      </c>
      <c r="N29" s="46">
        <v>84121</v>
      </c>
      <c r="O29" s="69" t="s">
        <v>218</v>
      </c>
      <c r="P29" s="70" t="s">
        <v>209</v>
      </c>
      <c r="R29" s="47"/>
      <c r="S29" s="267"/>
      <c r="T29" s="48"/>
      <c r="U29" s="48"/>
    </row>
    <row r="30" spans="1:21" s="46" customFormat="1" x14ac:dyDescent="0.25">
      <c r="A30" s="39" t="s">
        <v>245</v>
      </c>
      <c r="B30" s="40" t="s">
        <v>63</v>
      </c>
      <c r="C30" s="41" t="s">
        <v>64</v>
      </c>
      <c r="D30" s="42">
        <v>44927</v>
      </c>
      <c r="E30" s="42">
        <v>45291</v>
      </c>
      <c r="F30" s="42">
        <f t="shared" si="0"/>
        <v>45107</v>
      </c>
      <c r="G30" s="112">
        <f>_xlfn.XLOOKUP(F30,'A-6 CMS Market Basket Index '!$AZ$3:$AZ$8,'A-6 CMS Market Basket Index '!$BF$3:$BF$8)</f>
        <v>1.0538000000000001</v>
      </c>
      <c r="H30" s="44">
        <v>6017</v>
      </c>
      <c r="I30" s="44">
        <v>36</v>
      </c>
      <c r="J30" s="65">
        <v>167.14</v>
      </c>
      <c r="K30" s="76">
        <f t="shared" si="1"/>
        <v>176.13213199999998</v>
      </c>
      <c r="L30" s="51"/>
      <c r="M30" s="46" t="s">
        <v>48</v>
      </c>
      <c r="N30" s="46">
        <v>84107</v>
      </c>
      <c r="O30" s="69" t="s">
        <v>218</v>
      </c>
      <c r="P30" s="70" t="s">
        <v>209</v>
      </c>
      <c r="R30" s="47"/>
      <c r="S30" s="267"/>
      <c r="T30" s="48"/>
      <c r="U30" s="48"/>
    </row>
    <row r="31" spans="1:21" s="46" customFormat="1" x14ac:dyDescent="0.25">
      <c r="A31" s="39" t="s">
        <v>245</v>
      </c>
      <c r="B31" s="40" t="s">
        <v>100</v>
      </c>
      <c r="C31" s="41" t="s">
        <v>57</v>
      </c>
      <c r="D31" s="42">
        <v>44927</v>
      </c>
      <c r="E31" s="42">
        <v>45291</v>
      </c>
      <c r="F31" s="42">
        <f t="shared" si="0"/>
        <v>45107</v>
      </c>
      <c r="G31" s="112">
        <f>_xlfn.XLOOKUP(F31,'A-6 CMS Market Basket Index '!$AZ$3:$AZ$8,'A-6 CMS Market Basket Index '!$BF$3:$BF$8)</f>
        <v>1.0538000000000001</v>
      </c>
      <c r="H31" s="44">
        <v>1665</v>
      </c>
      <c r="I31" s="44">
        <v>9</v>
      </c>
      <c r="J31" s="65">
        <v>185</v>
      </c>
      <c r="K31" s="76">
        <f t="shared" si="1"/>
        <v>194.953</v>
      </c>
      <c r="L31" s="51"/>
      <c r="M31" s="46" t="s">
        <v>101</v>
      </c>
      <c r="N31" s="46">
        <v>84095</v>
      </c>
      <c r="O31" s="69" t="s">
        <v>218</v>
      </c>
      <c r="P31" s="70" t="s">
        <v>209</v>
      </c>
      <c r="R31" s="47"/>
      <c r="S31" s="267"/>
      <c r="T31" s="48"/>
      <c r="U31" s="48"/>
    </row>
    <row r="32" spans="1:21" s="46" customFormat="1" x14ac:dyDescent="0.25">
      <c r="A32" s="39" t="s">
        <v>245</v>
      </c>
      <c r="B32" s="40" t="s">
        <v>171</v>
      </c>
      <c r="C32" s="41" t="s">
        <v>172</v>
      </c>
      <c r="D32" s="42">
        <v>44927</v>
      </c>
      <c r="E32" s="42">
        <v>45291</v>
      </c>
      <c r="F32" s="42">
        <f t="shared" si="0"/>
        <v>45107</v>
      </c>
      <c r="G32" s="112">
        <f>_xlfn.XLOOKUP(F32,'A-6 CMS Market Basket Index '!$AZ$3:$AZ$8,'A-6 CMS Market Basket Index '!$BF$3:$BF$8)</f>
        <v>1.0538000000000001</v>
      </c>
      <c r="H32" s="44">
        <v>190</v>
      </c>
      <c r="I32" s="44">
        <v>1</v>
      </c>
      <c r="J32" s="65">
        <v>190</v>
      </c>
      <c r="K32" s="76">
        <f t="shared" si="1"/>
        <v>200.22200000000001</v>
      </c>
      <c r="L32" s="51"/>
      <c r="M32" s="46" t="s">
        <v>173</v>
      </c>
      <c r="N32" s="46">
        <v>84117</v>
      </c>
      <c r="O32" s="69" t="s">
        <v>218</v>
      </c>
      <c r="P32" s="70" t="s">
        <v>209</v>
      </c>
      <c r="R32" s="47"/>
      <c r="S32" s="267"/>
      <c r="T32" s="48"/>
      <c r="U32" s="48"/>
    </row>
    <row r="33" spans="1:21" s="46" customFormat="1" x14ac:dyDescent="0.25">
      <c r="A33" s="39" t="s">
        <v>245</v>
      </c>
      <c r="B33" s="40" t="s">
        <v>192</v>
      </c>
      <c r="C33" s="41" t="s">
        <v>193</v>
      </c>
      <c r="D33" s="42">
        <v>44927</v>
      </c>
      <c r="E33" s="42">
        <v>45291</v>
      </c>
      <c r="F33" s="42">
        <f t="shared" si="0"/>
        <v>45107</v>
      </c>
      <c r="G33" s="112">
        <f>_xlfn.XLOOKUP(F33,'A-6 CMS Market Basket Index '!$AZ$3:$AZ$8,'A-6 CMS Market Basket Index '!$BF$3:$BF$8)</f>
        <v>1.0538000000000001</v>
      </c>
      <c r="H33" s="44">
        <v>768</v>
      </c>
      <c r="I33" s="44">
        <v>4</v>
      </c>
      <c r="J33" s="65">
        <v>192</v>
      </c>
      <c r="K33" s="76">
        <f t="shared" si="1"/>
        <v>202.32960000000003</v>
      </c>
      <c r="L33" s="51"/>
      <c r="M33" s="46" t="s">
        <v>62</v>
      </c>
      <c r="N33" s="46">
        <v>84790</v>
      </c>
      <c r="O33" s="69" t="s">
        <v>223</v>
      </c>
      <c r="P33" s="70" t="s">
        <v>209</v>
      </c>
      <c r="R33" s="47"/>
      <c r="S33" s="267"/>
      <c r="T33" s="48"/>
      <c r="U33" s="48"/>
    </row>
    <row r="34" spans="1:21" s="46" customFormat="1" x14ac:dyDescent="0.25">
      <c r="A34" s="39" t="s">
        <v>245</v>
      </c>
      <c r="B34" s="40" t="s">
        <v>162</v>
      </c>
      <c r="C34" s="41" t="s">
        <v>163</v>
      </c>
      <c r="D34" s="42">
        <v>44927</v>
      </c>
      <c r="E34" s="42">
        <v>45291</v>
      </c>
      <c r="F34" s="42">
        <f t="shared" si="0"/>
        <v>45107</v>
      </c>
      <c r="G34" s="112">
        <f>_xlfn.XLOOKUP(F34,'A-6 CMS Market Basket Index '!$AZ$3:$AZ$8,'A-6 CMS Market Basket Index '!$BF$3:$BF$8)</f>
        <v>1.0538000000000001</v>
      </c>
      <c r="H34" s="44">
        <v>194</v>
      </c>
      <c r="I34" s="44">
        <v>1</v>
      </c>
      <c r="J34" s="65">
        <v>194</v>
      </c>
      <c r="K34" s="76">
        <f t="shared" si="1"/>
        <v>204.43720000000002</v>
      </c>
      <c r="L34" s="51"/>
      <c r="M34" s="46" t="s">
        <v>51</v>
      </c>
      <c r="N34" s="46">
        <v>84720</v>
      </c>
      <c r="O34" s="69" t="s">
        <v>216</v>
      </c>
      <c r="P34" s="70" t="s">
        <v>209</v>
      </c>
      <c r="R34" s="47"/>
      <c r="S34" s="267"/>
      <c r="T34" s="48"/>
      <c r="U34" s="48"/>
    </row>
    <row r="35" spans="1:21" s="46" customFormat="1" x14ac:dyDescent="0.25">
      <c r="A35" s="39" t="s">
        <v>245</v>
      </c>
      <c r="B35" s="40" t="s">
        <v>117</v>
      </c>
      <c r="C35" s="41" t="s">
        <v>118</v>
      </c>
      <c r="D35" s="42">
        <v>44927</v>
      </c>
      <c r="E35" s="42">
        <v>45291</v>
      </c>
      <c r="F35" s="42">
        <f t="shared" si="0"/>
        <v>45107</v>
      </c>
      <c r="G35" s="112">
        <f>_xlfn.XLOOKUP(F35,'A-6 CMS Market Basket Index '!$AZ$3:$AZ$8,'A-6 CMS Market Basket Index '!$BF$3:$BF$8)</f>
        <v>1.0538000000000001</v>
      </c>
      <c r="H35" s="44">
        <v>4321</v>
      </c>
      <c r="I35" s="44">
        <v>22</v>
      </c>
      <c r="J35" s="65">
        <v>196.41</v>
      </c>
      <c r="K35" s="76">
        <f t="shared" si="1"/>
        <v>206.97685800000002</v>
      </c>
      <c r="L35" s="51"/>
      <c r="M35" s="46" t="s">
        <v>17</v>
      </c>
      <c r="N35" s="46">
        <v>84057</v>
      </c>
      <c r="O35" s="69" t="s">
        <v>15</v>
      </c>
      <c r="P35" s="70" t="s">
        <v>213</v>
      </c>
      <c r="R35" s="47"/>
      <c r="S35" s="267"/>
      <c r="T35" s="48"/>
      <c r="U35" s="48"/>
    </row>
    <row r="36" spans="1:21" s="46" customFormat="1" x14ac:dyDescent="0.25">
      <c r="A36" s="39" t="s">
        <v>245</v>
      </c>
      <c r="B36" s="40" t="s">
        <v>182</v>
      </c>
      <c r="C36" s="41" t="s">
        <v>183</v>
      </c>
      <c r="D36" s="42">
        <v>44927</v>
      </c>
      <c r="E36" s="42">
        <v>45291</v>
      </c>
      <c r="F36" s="42">
        <f t="shared" si="0"/>
        <v>45107</v>
      </c>
      <c r="G36" s="112">
        <f>_xlfn.XLOOKUP(F36,'A-6 CMS Market Basket Index '!$AZ$3:$AZ$8,'A-6 CMS Market Basket Index '!$BF$3:$BF$8)</f>
        <v>1.0538000000000001</v>
      </c>
      <c r="H36" s="44">
        <v>1001</v>
      </c>
      <c r="I36" s="44">
        <v>5</v>
      </c>
      <c r="J36" s="65">
        <v>200.2</v>
      </c>
      <c r="K36" s="76">
        <f t="shared" si="1"/>
        <v>210.97076000000001</v>
      </c>
      <c r="L36" s="51"/>
      <c r="M36" s="46" t="s">
        <v>48</v>
      </c>
      <c r="N36" s="46">
        <v>84107</v>
      </c>
      <c r="O36" s="69" t="s">
        <v>218</v>
      </c>
      <c r="P36" s="70" t="s">
        <v>209</v>
      </c>
      <c r="R36" s="47"/>
      <c r="S36" s="267"/>
      <c r="T36" s="48"/>
      <c r="U36" s="48"/>
    </row>
    <row r="37" spans="1:21" s="46" customFormat="1" x14ac:dyDescent="0.25">
      <c r="A37" s="39" t="s">
        <v>245</v>
      </c>
      <c r="B37" s="40" t="s">
        <v>85</v>
      </c>
      <c r="C37" s="41" t="s">
        <v>84</v>
      </c>
      <c r="D37" s="42">
        <v>44927</v>
      </c>
      <c r="E37" s="42">
        <v>45291</v>
      </c>
      <c r="F37" s="42">
        <f t="shared" si="0"/>
        <v>45107</v>
      </c>
      <c r="G37" s="112">
        <f>_xlfn.XLOOKUP(F37,'A-6 CMS Market Basket Index '!$AZ$3:$AZ$8,'A-6 CMS Market Basket Index '!$BF$3:$BF$8)</f>
        <v>1.0538000000000001</v>
      </c>
      <c r="H37" s="44">
        <v>814</v>
      </c>
      <c r="I37" s="44">
        <v>4</v>
      </c>
      <c r="J37" s="65">
        <v>203.5</v>
      </c>
      <c r="K37" s="76">
        <f t="shared" si="1"/>
        <v>214.44830000000002</v>
      </c>
      <c r="L37" s="51"/>
      <c r="M37" s="46" t="s">
        <v>45</v>
      </c>
      <c r="N37" s="46">
        <v>84020</v>
      </c>
      <c r="O37" s="69" t="s">
        <v>218</v>
      </c>
      <c r="P37" s="70" t="s">
        <v>209</v>
      </c>
      <c r="R37" s="47"/>
      <c r="S37" s="267"/>
      <c r="T37" s="48"/>
      <c r="U37" s="48"/>
    </row>
    <row r="38" spans="1:21" s="46" customFormat="1" x14ac:dyDescent="0.25">
      <c r="A38" s="39" t="s">
        <v>245</v>
      </c>
      <c r="B38" s="40" t="s">
        <v>69</v>
      </c>
      <c r="C38" s="41" t="s">
        <v>70</v>
      </c>
      <c r="D38" s="42">
        <v>44927</v>
      </c>
      <c r="E38" s="42">
        <v>45291</v>
      </c>
      <c r="F38" s="42">
        <f t="shared" si="0"/>
        <v>45107</v>
      </c>
      <c r="G38" s="112">
        <f>_xlfn.XLOOKUP(F38,'A-6 CMS Market Basket Index '!$AZ$3:$AZ$8,'A-6 CMS Market Basket Index '!$BF$3:$BF$8)</f>
        <v>1.0538000000000001</v>
      </c>
      <c r="H38" s="44">
        <v>7547</v>
      </c>
      <c r="I38" s="44">
        <v>36</v>
      </c>
      <c r="J38" s="65">
        <v>209.64</v>
      </c>
      <c r="K38" s="76">
        <f t="shared" ref="K38:K69" si="3">IF(J38="","",J38*$G38)</f>
        <v>220.918632</v>
      </c>
      <c r="L38" s="51"/>
      <c r="M38" s="46" t="s">
        <v>48</v>
      </c>
      <c r="N38" s="46">
        <v>84123</v>
      </c>
      <c r="O38" s="69" t="s">
        <v>218</v>
      </c>
      <c r="P38" s="70" t="s">
        <v>209</v>
      </c>
      <c r="R38" s="47"/>
      <c r="S38" s="267"/>
      <c r="T38" s="48"/>
      <c r="U38" s="48"/>
    </row>
    <row r="39" spans="1:21" s="46" customFormat="1" x14ac:dyDescent="0.25">
      <c r="A39" s="39" t="s">
        <v>245</v>
      </c>
      <c r="B39" s="40" t="s">
        <v>116</v>
      </c>
      <c r="C39" s="41" t="s">
        <v>114</v>
      </c>
      <c r="D39" s="42">
        <v>44927</v>
      </c>
      <c r="E39" s="42">
        <v>45291</v>
      </c>
      <c r="F39" s="42">
        <f t="shared" si="0"/>
        <v>45107</v>
      </c>
      <c r="G39" s="112">
        <f>_xlfn.XLOOKUP(F39,'A-6 CMS Market Basket Index '!$AZ$3:$AZ$8,'A-6 CMS Market Basket Index '!$BF$3:$BF$8)</f>
        <v>1.0538000000000001</v>
      </c>
      <c r="H39" s="44">
        <v>20694</v>
      </c>
      <c r="I39" s="44">
        <v>94</v>
      </c>
      <c r="J39" s="65">
        <v>220.15</v>
      </c>
      <c r="K39" s="76">
        <f t="shared" si="3"/>
        <v>231.99407000000002</v>
      </c>
      <c r="L39" s="51"/>
      <c r="M39" s="46" t="s">
        <v>62</v>
      </c>
      <c r="N39" s="46">
        <v>84770</v>
      </c>
      <c r="O39" s="69" t="s">
        <v>223</v>
      </c>
      <c r="P39" s="70" t="s">
        <v>209</v>
      </c>
      <c r="R39" s="47"/>
      <c r="S39" s="267"/>
      <c r="T39" s="48"/>
      <c r="U39" s="48"/>
    </row>
    <row r="40" spans="1:21" s="46" customFormat="1" x14ac:dyDescent="0.25">
      <c r="A40" s="39" t="s">
        <v>245</v>
      </c>
      <c r="B40" s="40" t="s">
        <v>60</v>
      </c>
      <c r="C40" s="41" t="s">
        <v>61</v>
      </c>
      <c r="D40" s="42">
        <v>44927</v>
      </c>
      <c r="E40" s="42">
        <v>45291</v>
      </c>
      <c r="F40" s="42">
        <f t="shared" si="0"/>
        <v>45107</v>
      </c>
      <c r="G40" s="112">
        <f>_xlfn.XLOOKUP(F40,'A-6 CMS Market Basket Index '!$AZ$3:$AZ$8,'A-6 CMS Market Basket Index '!$BF$3:$BF$8)</f>
        <v>1.0538000000000001</v>
      </c>
      <c r="H40" s="44">
        <v>1380</v>
      </c>
      <c r="I40" s="44">
        <v>6</v>
      </c>
      <c r="J40" s="65">
        <v>230</v>
      </c>
      <c r="K40" s="76">
        <f t="shared" si="3"/>
        <v>242.37400000000002</v>
      </c>
      <c r="L40" s="51"/>
      <c r="M40" s="46" t="s">
        <v>62</v>
      </c>
      <c r="N40" s="46">
        <v>84790</v>
      </c>
      <c r="O40" s="69" t="s">
        <v>223</v>
      </c>
      <c r="P40" s="70" t="s">
        <v>209</v>
      </c>
      <c r="R40" s="47"/>
      <c r="S40" s="267"/>
      <c r="T40" s="48"/>
      <c r="U40" s="48"/>
    </row>
    <row r="41" spans="1:21" s="46" customFormat="1" x14ac:dyDescent="0.25">
      <c r="A41" s="39" t="s">
        <v>245</v>
      </c>
      <c r="B41" s="40" t="s">
        <v>127</v>
      </c>
      <c r="C41" s="41" t="s">
        <v>128</v>
      </c>
      <c r="D41" s="42">
        <v>44927</v>
      </c>
      <c r="E41" s="42">
        <v>45291</v>
      </c>
      <c r="F41" s="42">
        <f t="shared" si="0"/>
        <v>45107</v>
      </c>
      <c r="G41" s="112">
        <f>_xlfn.XLOOKUP(F41,'A-6 CMS Market Basket Index '!$AZ$3:$AZ$8,'A-6 CMS Market Basket Index '!$BF$3:$BF$8)</f>
        <v>1.0538000000000001</v>
      </c>
      <c r="H41" s="44">
        <v>11959</v>
      </c>
      <c r="I41" s="44">
        <v>51</v>
      </c>
      <c r="J41" s="65">
        <v>234.49</v>
      </c>
      <c r="K41" s="76">
        <f t="shared" si="3"/>
        <v>247.10556200000002</v>
      </c>
      <c r="L41" s="51"/>
      <c r="M41" s="46" t="s">
        <v>129</v>
      </c>
      <c r="N41" s="46">
        <v>84063</v>
      </c>
      <c r="O41" s="69" t="s">
        <v>222</v>
      </c>
      <c r="P41" s="70" t="s">
        <v>209</v>
      </c>
      <c r="R41" s="47"/>
      <c r="S41" s="267"/>
      <c r="T41" s="48"/>
      <c r="U41" s="48"/>
    </row>
    <row r="42" spans="1:21" s="46" customFormat="1" x14ac:dyDescent="0.25">
      <c r="A42" s="39" t="s">
        <v>245</v>
      </c>
      <c r="B42" s="40" t="s">
        <v>121</v>
      </c>
      <c r="C42" s="41" t="s">
        <v>122</v>
      </c>
      <c r="D42" s="42">
        <v>44927</v>
      </c>
      <c r="E42" s="42">
        <v>45291</v>
      </c>
      <c r="F42" s="42">
        <f t="shared" si="0"/>
        <v>45107</v>
      </c>
      <c r="G42" s="112">
        <f>_xlfn.XLOOKUP(F42,'A-6 CMS Market Basket Index '!$AZ$3:$AZ$8,'A-6 CMS Market Basket Index '!$BF$3:$BF$8)</f>
        <v>1.0538000000000001</v>
      </c>
      <c r="H42" s="44">
        <v>14511</v>
      </c>
      <c r="I42" s="44">
        <v>61</v>
      </c>
      <c r="J42" s="65">
        <v>237.89</v>
      </c>
      <c r="K42" s="76">
        <f t="shared" si="3"/>
        <v>250.68848199999999</v>
      </c>
      <c r="L42" s="51"/>
      <c r="M42" s="46" t="s">
        <v>17</v>
      </c>
      <c r="N42" s="46">
        <v>84057</v>
      </c>
      <c r="O42" s="69" t="s">
        <v>15</v>
      </c>
      <c r="P42" s="70" t="s">
        <v>213</v>
      </c>
      <c r="R42" s="47"/>
      <c r="S42" s="267"/>
      <c r="T42" s="48"/>
      <c r="U42" s="48"/>
    </row>
    <row r="43" spans="1:21" s="46" customFormat="1" x14ac:dyDescent="0.25">
      <c r="A43" s="50" t="s">
        <v>246</v>
      </c>
      <c r="B43" s="86" t="s">
        <v>35</v>
      </c>
      <c r="C43" s="87">
        <v>467035</v>
      </c>
      <c r="D43" s="88">
        <v>45108</v>
      </c>
      <c r="E43" s="88">
        <v>45473</v>
      </c>
      <c r="F43" s="42">
        <f>((D43+E43)/2)+1</f>
        <v>45291.5</v>
      </c>
      <c r="G43" s="112">
        <f>_xlfn.XLOOKUP(F43,'A-6 CMS Market Basket Index '!$AZ$3:$AZ$8,'A-6 CMS Market Basket Index '!$BF$3:$BF$8)</f>
        <v>1.0366</v>
      </c>
      <c r="H43" s="49">
        <v>2630</v>
      </c>
      <c r="I43" s="49">
        <v>9</v>
      </c>
      <c r="J43" s="80">
        <v>292.22000000000003</v>
      </c>
      <c r="K43" s="76">
        <f t="shared" si="3"/>
        <v>302.91525200000001</v>
      </c>
      <c r="L43" s="51"/>
      <c r="M43" s="90" t="s">
        <v>34</v>
      </c>
      <c r="N43" s="90">
        <v>84634</v>
      </c>
      <c r="O43" s="91" t="s">
        <v>220</v>
      </c>
      <c r="P43" s="92" t="s">
        <v>209</v>
      </c>
      <c r="Q43" s="52" t="s">
        <v>32</v>
      </c>
      <c r="R43" s="53" t="s">
        <v>33</v>
      </c>
      <c r="S43" s="267"/>
      <c r="T43" s="48"/>
      <c r="U43" s="48"/>
    </row>
    <row r="44" spans="1:21" s="46" customFormat="1" x14ac:dyDescent="0.25">
      <c r="A44" s="39" t="s">
        <v>245</v>
      </c>
      <c r="B44" s="40" t="s">
        <v>138</v>
      </c>
      <c r="C44" s="41" t="s">
        <v>139</v>
      </c>
      <c r="D44" s="42">
        <v>44927</v>
      </c>
      <c r="E44" s="42">
        <v>45291</v>
      </c>
      <c r="F44" s="42">
        <f t="shared" ref="F44:F62" si="4">((D44+E44)/2)-2</f>
        <v>45107</v>
      </c>
      <c r="G44" s="112">
        <f>_xlfn.XLOOKUP(F44,'A-6 CMS Market Basket Index '!$AZ$3:$AZ$8,'A-6 CMS Market Basket Index '!$BF$3:$BF$8)</f>
        <v>1.0538000000000001</v>
      </c>
      <c r="H44" s="44">
        <v>1406</v>
      </c>
      <c r="I44" s="44">
        <v>4</v>
      </c>
      <c r="J44" s="65">
        <v>351.5</v>
      </c>
      <c r="K44" s="76">
        <f t="shared" si="3"/>
        <v>370.41070000000002</v>
      </c>
      <c r="L44" s="51"/>
      <c r="M44" s="46" t="s">
        <v>51</v>
      </c>
      <c r="N44" s="46">
        <v>84721</v>
      </c>
      <c r="O44" s="69" t="s">
        <v>216</v>
      </c>
      <c r="P44" s="70" t="s">
        <v>209</v>
      </c>
      <c r="R44" s="47"/>
      <c r="S44" s="267"/>
      <c r="T44" s="48"/>
      <c r="U44" s="48"/>
    </row>
    <row r="45" spans="1:21" s="46" customFormat="1" x14ac:dyDescent="0.25">
      <c r="A45" s="39" t="s">
        <v>245</v>
      </c>
      <c r="B45" s="40" t="s">
        <v>56</v>
      </c>
      <c r="C45" s="41" t="s">
        <v>184</v>
      </c>
      <c r="D45" s="42">
        <v>44927</v>
      </c>
      <c r="E45" s="42">
        <v>45291</v>
      </c>
      <c r="F45" s="42">
        <f t="shared" si="4"/>
        <v>45107</v>
      </c>
      <c r="G45" s="112">
        <f>_xlfn.XLOOKUP(F45,'A-6 CMS Market Basket Index '!$AZ$3:$AZ$8,'A-6 CMS Market Basket Index '!$BF$3:$BF$8)</f>
        <v>1.0538000000000001</v>
      </c>
      <c r="H45" s="44">
        <v>175899</v>
      </c>
      <c r="I45" s="44">
        <v>443</v>
      </c>
      <c r="J45" s="65">
        <v>397.06</v>
      </c>
      <c r="K45" s="76">
        <f t="shared" si="3"/>
        <v>418.421828</v>
      </c>
      <c r="L45" s="51"/>
      <c r="M45" s="46" t="s">
        <v>16</v>
      </c>
      <c r="N45" s="46">
        <v>84010</v>
      </c>
      <c r="O45" s="69" t="s">
        <v>212</v>
      </c>
      <c r="P45" s="70" t="s">
        <v>213</v>
      </c>
      <c r="R45" s="47"/>
      <c r="S45" s="267"/>
      <c r="T45" s="48"/>
      <c r="U45" s="48"/>
    </row>
    <row r="46" spans="1:21" s="46" customFormat="1" x14ac:dyDescent="0.25">
      <c r="A46" s="39" t="s">
        <v>245</v>
      </c>
      <c r="B46" s="40" t="s">
        <v>132</v>
      </c>
      <c r="C46" s="41" t="s">
        <v>91</v>
      </c>
      <c r="D46" s="42">
        <v>44927</v>
      </c>
      <c r="E46" s="42">
        <v>45291</v>
      </c>
      <c r="F46" s="42">
        <f t="shared" si="4"/>
        <v>45107</v>
      </c>
      <c r="G46" s="112">
        <f>_xlfn.XLOOKUP(F46,'A-6 CMS Market Basket Index '!$AZ$3:$AZ$8,'A-6 CMS Market Basket Index '!$BF$3:$BF$8)</f>
        <v>1.0538000000000001</v>
      </c>
      <c r="H46" s="44">
        <v>114818</v>
      </c>
      <c r="I46" s="44">
        <v>271</v>
      </c>
      <c r="J46" s="65">
        <v>423.68</v>
      </c>
      <c r="K46" s="76">
        <f t="shared" si="3"/>
        <v>446.47398400000003</v>
      </c>
      <c r="L46" s="51"/>
      <c r="M46" s="46" t="s">
        <v>48</v>
      </c>
      <c r="N46" s="46">
        <v>84107</v>
      </c>
      <c r="O46" s="69" t="s">
        <v>218</v>
      </c>
      <c r="P46" s="70" t="s">
        <v>209</v>
      </c>
      <c r="R46" s="47"/>
      <c r="S46" s="267"/>
      <c r="T46" s="48"/>
      <c r="U46" s="48"/>
    </row>
    <row r="47" spans="1:21" s="46" customFormat="1" x14ac:dyDescent="0.25">
      <c r="A47" s="39" t="s">
        <v>245</v>
      </c>
      <c r="B47" s="40" t="s">
        <v>93</v>
      </c>
      <c r="C47" s="41" t="s">
        <v>94</v>
      </c>
      <c r="D47" s="42">
        <v>44927</v>
      </c>
      <c r="E47" s="42">
        <v>45291</v>
      </c>
      <c r="F47" s="42">
        <f t="shared" si="4"/>
        <v>45107</v>
      </c>
      <c r="G47" s="112">
        <f>_xlfn.XLOOKUP(F47,'A-6 CMS Market Basket Index '!$AZ$3:$AZ$8,'A-6 CMS Market Basket Index '!$BF$3:$BF$8)</f>
        <v>1.0538000000000001</v>
      </c>
      <c r="H47" s="44">
        <v>34226</v>
      </c>
      <c r="I47" s="44">
        <v>75</v>
      </c>
      <c r="J47" s="65">
        <v>456.35</v>
      </c>
      <c r="K47" s="76">
        <f t="shared" si="3"/>
        <v>480.90163000000007</v>
      </c>
      <c r="L47" s="51"/>
      <c r="M47" s="46" t="s">
        <v>18</v>
      </c>
      <c r="N47" s="46">
        <v>84107</v>
      </c>
      <c r="O47" s="69" t="s">
        <v>218</v>
      </c>
      <c r="P47" s="70" t="s">
        <v>209</v>
      </c>
      <c r="R47" s="47"/>
      <c r="S47" s="267"/>
      <c r="T47" s="48"/>
      <c r="U47" s="48"/>
    </row>
    <row r="48" spans="1:21" s="46" customFormat="1" x14ac:dyDescent="0.25">
      <c r="A48" s="39" t="s">
        <v>245</v>
      </c>
      <c r="B48" s="40" t="s">
        <v>158</v>
      </c>
      <c r="C48" s="41" t="s">
        <v>159</v>
      </c>
      <c r="D48" s="42">
        <v>44927</v>
      </c>
      <c r="E48" s="42">
        <v>45291</v>
      </c>
      <c r="F48" s="42">
        <f t="shared" si="4"/>
        <v>45107</v>
      </c>
      <c r="G48" s="112">
        <f>_xlfn.XLOOKUP(F48,'A-6 CMS Market Basket Index '!$AZ$3:$AZ$8,'A-6 CMS Market Basket Index '!$BF$3:$BF$8)</f>
        <v>1.0538000000000001</v>
      </c>
      <c r="H48" s="44">
        <v>184140</v>
      </c>
      <c r="I48" s="44">
        <v>399</v>
      </c>
      <c r="J48" s="65">
        <v>461.5</v>
      </c>
      <c r="K48" s="76">
        <f t="shared" si="3"/>
        <v>486.32870000000003</v>
      </c>
      <c r="L48" s="51"/>
      <c r="M48" s="46" t="s">
        <v>101</v>
      </c>
      <c r="N48" s="46">
        <v>84095</v>
      </c>
      <c r="O48" s="69" t="s">
        <v>218</v>
      </c>
      <c r="P48" s="70" t="s">
        <v>209</v>
      </c>
      <c r="R48" s="47"/>
      <c r="S48" s="267"/>
      <c r="T48" s="48"/>
      <c r="U48" s="48"/>
    </row>
    <row r="49" spans="1:21" s="46" customFormat="1" x14ac:dyDescent="0.25">
      <c r="A49" s="39" t="s">
        <v>245</v>
      </c>
      <c r="B49" s="40" t="s">
        <v>107</v>
      </c>
      <c r="C49" s="41" t="s">
        <v>108</v>
      </c>
      <c r="D49" s="42">
        <v>44927</v>
      </c>
      <c r="E49" s="42">
        <v>45291</v>
      </c>
      <c r="F49" s="42">
        <f t="shared" si="4"/>
        <v>45107</v>
      </c>
      <c r="G49" s="112">
        <f>_xlfn.XLOOKUP(F49,'A-6 CMS Market Basket Index '!$AZ$3:$AZ$8,'A-6 CMS Market Basket Index '!$BF$3:$BF$8)</f>
        <v>1.0538000000000001</v>
      </c>
      <c r="H49" s="44">
        <v>2364</v>
      </c>
      <c r="I49" s="44">
        <v>5</v>
      </c>
      <c r="J49" s="65">
        <v>472.8</v>
      </c>
      <c r="K49" s="76">
        <f t="shared" si="3"/>
        <v>498.23664000000002</v>
      </c>
      <c r="L49" s="51" t="str">
        <f t="shared" ref="L49:L54" si="5">IF(K49&gt;$K$95,"OL","")</f>
        <v/>
      </c>
      <c r="M49" s="46" t="s">
        <v>62</v>
      </c>
      <c r="N49" s="46">
        <v>84790</v>
      </c>
      <c r="O49" s="69" t="s">
        <v>223</v>
      </c>
      <c r="P49" s="70" t="s">
        <v>209</v>
      </c>
      <c r="R49" s="47"/>
      <c r="S49" s="267"/>
      <c r="T49" s="48"/>
      <c r="U49" s="48"/>
    </row>
    <row r="50" spans="1:21" s="46" customFormat="1" x14ac:dyDescent="0.25">
      <c r="A50" s="39" t="s">
        <v>245</v>
      </c>
      <c r="B50" s="40" t="s">
        <v>145</v>
      </c>
      <c r="C50" s="41" t="s">
        <v>146</v>
      </c>
      <c r="D50" s="42">
        <v>44927</v>
      </c>
      <c r="E50" s="42">
        <v>45291</v>
      </c>
      <c r="F50" s="42">
        <f t="shared" si="4"/>
        <v>45107</v>
      </c>
      <c r="G50" s="112">
        <f>_xlfn.XLOOKUP(F50,'A-6 CMS Market Basket Index '!$AZ$3:$AZ$8,'A-6 CMS Market Basket Index '!$BF$3:$BF$8)</f>
        <v>1.0538000000000001</v>
      </c>
      <c r="H50" s="44">
        <v>2868</v>
      </c>
      <c r="I50" s="44">
        <v>6</v>
      </c>
      <c r="J50" s="65">
        <v>478</v>
      </c>
      <c r="K50" s="76">
        <f t="shared" si="3"/>
        <v>503.71640000000002</v>
      </c>
      <c r="L50" s="51" t="str">
        <f t="shared" si="5"/>
        <v/>
      </c>
      <c r="M50" s="46" t="s">
        <v>41</v>
      </c>
      <c r="N50" s="46">
        <v>84647</v>
      </c>
      <c r="O50" s="69" t="s">
        <v>220</v>
      </c>
      <c r="P50" s="70" t="s">
        <v>209</v>
      </c>
      <c r="R50" s="47"/>
      <c r="S50" s="267"/>
      <c r="T50" s="48"/>
      <c r="U50" s="48"/>
    </row>
    <row r="51" spans="1:21" s="46" customFormat="1" x14ac:dyDescent="0.25">
      <c r="A51" s="39" t="s">
        <v>245</v>
      </c>
      <c r="B51" s="40" t="s">
        <v>131</v>
      </c>
      <c r="C51" s="41" t="s">
        <v>130</v>
      </c>
      <c r="D51" s="42">
        <v>44927</v>
      </c>
      <c r="E51" s="42">
        <v>45291</v>
      </c>
      <c r="F51" s="42">
        <f t="shared" si="4"/>
        <v>45107</v>
      </c>
      <c r="G51" s="112">
        <f>_xlfn.XLOOKUP(F51,'A-6 CMS Market Basket Index '!$AZ$3:$AZ$8,'A-6 CMS Market Basket Index '!$BF$3:$BF$8)</f>
        <v>1.0538000000000001</v>
      </c>
      <c r="H51" s="44">
        <v>46855</v>
      </c>
      <c r="I51" s="44">
        <v>77</v>
      </c>
      <c r="J51" s="65">
        <v>608.51</v>
      </c>
      <c r="K51" s="76">
        <f t="shared" si="3"/>
        <v>641.247838</v>
      </c>
      <c r="L51" s="51" t="str">
        <f t="shared" si="5"/>
        <v/>
      </c>
      <c r="M51" s="46" t="s">
        <v>48</v>
      </c>
      <c r="N51" s="46">
        <v>84107</v>
      </c>
      <c r="O51" s="69" t="s">
        <v>218</v>
      </c>
      <c r="P51" s="70" t="s">
        <v>209</v>
      </c>
      <c r="R51" s="47"/>
      <c r="S51" s="267"/>
      <c r="T51" s="48"/>
      <c r="U51" s="48"/>
    </row>
    <row r="52" spans="1:21" s="46" customFormat="1" x14ac:dyDescent="0.25">
      <c r="A52" s="39" t="s">
        <v>245</v>
      </c>
      <c r="B52" s="40" t="s">
        <v>152</v>
      </c>
      <c r="C52" s="41" t="s">
        <v>153</v>
      </c>
      <c r="D52" s="42">
        <v>44927</v>
      </c>
      <c r="E52" s="42">
        <v>45291</v>
      </c>
      <c r="F52" s="42">
        <f t="shared" si="4"/>
        <v>45107</v>
      </c>
      <c r="G52" s="112">
        <f>_xlfn.XLOOKUP(F52,'A-6 CMS Market Basket Index '!$AZ$3:$AZ$8,'A-6 CMS Market Basket Index '!$BF$3:$BF$8)</f>
        <v>1.0538000000000001</v>
      </c>
      <c r="H52" s="44">
        <v>65719</v>
      </c>
      <c r="I52" s="44">
        <v>76</v>
      </c>
      <c r="J52" s="65">
        <v>864.72</v>
      </c>
      <c r="K52" s="76">
        <f t="shared" si="3"/>
        <v>911.24193600000012</v>
      </c>
      <c r="L52" s="51" t="str">
        <f t="shared" si="5"/>
        <v/>
      </c>
      <c r="M52" s="46" t="s">
        <v>62</v>
      </c>
      <c r="N52" s="46">
        <v>84790</v>
      </c>
      <c r="O52" s="69" t="s">
        <v>223</v>
      </c>
      <c r="P52" s="70" t="s">
        <v>209</v>
      </c>
      <c r="R52" s="47"/>
      <c r="S52" s="267"/>
      <c r="T52" s="48"/>
      <c r="U52" s="48"/>
    </row>
    <row r="53" spans="1:21" s="46" customFormat="1" x14ac:dyDescent="0.25">
      <c r="A53" s="39" t="s">
        <v>245</v>
      </c>
      <c r="B53" s="40" t="s">
        <v>125</v>
      </c>
      <c r="C53" s="41" t="s">
        <v>126</v>
      </c>
      <c r="D53" s="42">
        <v>44927</v>
      </c>
      <c r="E53" s="42">
        <v>45291</v>
      </c>
      <c r="F53" s="42">
        <f t="shared" si="4"/>
        <v>45107</v>
      </c>
      <c r="G53" s="112">
        <f>_xlfn.XLOOKUP(F53,'A-6 CMS Market Basket Index '!$AZ$3:$AZ$8,'A-6 CMS Market Basket Index '!$BF$3:$BF$8)</f>
        <v>1.0538000000000001</v>
      </c>
      <c r="H53" s="44">
        <v>45706</v>
      </c>
      <c r="I53" s="44">
        <v>51</v>
      </c>
      <c r="J53" s="65">
        <v>896.2</v>
      </c>
      <c r="K53" s="76">
        <f t="shared" si="3"/>
        <v>944.41556000000014</v>
      </c>
      <c r="L53" s="51" t="str">
        <f t="shared" si="5"/>
        <v/>
      </c>
      <c r="M53" s="46" t="s">
        <v>48</v>
      </c>
      <c r="N53" s="46">
        <v>84123</v>
      </c>
      <c r="O53" s="69" t="s">
        <v>218</v>
      </c>
      <c r="P53" s="70" t="s">
        <v>209</v>
      </c>
      <c r="R53" s="47"/>
      <c r="S53" s="267"/>
      <c r="T53" s="48"/>
      <c r="U53" s="48"/>
    </row>
    <row r="54" spans="1:21" s="46" customFormat="1" x14ac:dyDescent="0.25">
      <c r="A54" s="39" t="s">
        <v>245</v>
      </c>
      <c r="B54" s="40" t="s">
        <v>201</v>
      </c>
      <c r="C54" s="41" t="s">
        <v>202</v>
      </c>
      <c r="D54" s="42">
        <v>44927</v>
      </c>
      <c r="E54" s="42">
        <v>45291</v>
      </c>
      <c r="F54" s="42">
        <f t="shared" si="4"/>
        <v>45107</v>
      </c>
      <c r="G54" s="112">
        <f>_xlfn.XLOOKUP(F54,'A-6 CMS Market Basket Index '!$AZ$3:$AZ$8,'A-6 CMS Market Basket Index '!$BF$3:$BF$8)</f>
        <v>1.0538000000000001</v>
      </c>
      <c r="H54" s="44">
        <v>27599</v>
      </c>
      <c r="I54" s="44">
        <v>30</v>
      </c>
      <c r="J54" s="65">
        <v>919.97</v>
      </c>
      <c r="K54" s="76">
        <f t="shared" si="3"/>
        <v>969.4643860000001</v>
      </c>
      <c r="L54" s="51" t="str">
        <f t="shared" si="5"/>
        <v/>
      </c>
      <c r="M54" s="46" t="s">
        <v>104</v>
      </c>
      <c r="N54" s="46">
        <v>84119</v>
      </c>
      <c r="O54" s="69" t="s">
        <v>218</v>
      </c>
      <c r="P54" s="70" t="s">
        <v>209</v>
      </c>
      <c r="R54" s="47"/>
      <c r="S54" s="267"/>
      <c r="T54" s="48"/>
      <c r="U54" s="48"/>
    </row>
    <row r="55" spans="1:21" s="46" customFormat="1" x14ac:dyDescent="0.25">
      <c r="A55" s="39" t="s">
        <v>245</v>
      </c>
      <c r="B55" s="40" t="s">
        <v>102</v>
      </c>
      <c r="C55" s="41" t="s">
        <v>103</v>
      </c>
      <c r="D55" s="42">
        <v>44927</v>
      </c>
      <c r="E55" s="42">
        <v>45291</v>
      </c>
      <c r="F55" s="42">
        <f t="shared" si="4"/>
        <v>45107</v>
      </c>
      <c r="G55" s="112">
        <f>_xlfn.XLOOKUP(F55,'A-6 CMS Market Basket Index '!$AZ$3:$AZ$8,'A-6 CMS Market Basket Index '!$BF$3:$BF$8)</f>
        <v>1.0538000000000001</v>
      </c>
      <c r="H55" s="44">
        <v>360842</v>
      </c>
      <c r="I55" s="44">
        <v>289</v>
      </c>
      <c r="J55" s="65">
        <v>1248.5899999999999</v>
      </c>
      <c r="K55" s="76">
        <f t="shared" si="3"/>
        <v>1315.764142</v>
      </c>
      <c r="L55" s="51" t="str">
        <f t="shared" ref="L55:L61" si="6">IF(K55&gt;$K$95,"OL","")</f>
        <v>OL</v>
      </c>
      <c r="M55" s="46" t="s">
        <v>104</v>
      </c>
      <c r="N55" s="46">
        <v>84119</v>
      </c>
      <c r="O55" s="69" t="s">
        <v>218</v>
      </c>
      <c r="P55" s="70" t="s">
        <v>209</v>
      </c>
      <c r="R55" s="47"/>
      <c r="S55" s="267"/>
      <c r="T55" s="48"/>
      <c r="U55" s="48"/>
    </row>
    <row r="56" spans="1:21" s="46" customFormat="1" x14ac:dyDescent="0.25">
      <c r="A56" s="39" t="s">
        <v>245</v>
      </c>
      <c r="B56" s="40" t="s">
        <v>71</v>
      </c>
      <c r="C56" s="41" t="s">
        <v>72</v>
      </c>
      <c r="D56" s="42">
        <v>44927</v>
      </c>
      <c r="E56" s="42">
        <v>45291</v>
      </c>
      <c r="F56" s="42">
        <f t="shared" si="4"/>
        <v>45107</v>
      </c>
      <c r="G56" s="112">
        <f>_xlfn.XLOOKUP(F56,'A-6 CMS Market Basket Index '!$AZ$3:$AZ$8,'A-6 CMS Market Basket Index '!$BF$3:$BF$8)</f>
        <v>1.0538000000000001</v>
      </c>
      <c r="H56" s="44">
        <v>100500</v>
      </c>
      <c r="I56" s="44">
        <v>72</v>
      </c>
      <c r="J56" s="65">
        <v>1395.83</v>
      </c>
      <c r="K56" s="76">
        <f t="shared" si="3"/>
        <v>1470.9256540000001</v>
      </c>
      <c r="L56" s="51" t="str">
        <f t="shared" si="6"/>
        <v>OL</v>
      </c>
      <c r="M56" s="46" t="s">
        <v>17</v>
      </c>
      <c r="N56" s="46">
        <v>84057</v>
      </c>
      <c r="O56" s="69" t="s">
        <v>15</v>
      </c>
      <c r="P56" s="70" t="s">
        <v>213</v>
      </c>
      <c r="R56" s="47"/>
      <c r="S56" s="267"/>
      <c r="T56" s="48"/>
      <c r="U56" s="48"/>
    </row>
    <row r="57" spans="1:21" s="46" customFormat="1" x14ac:dyDescent="0.25">
      <c r="A57" s="50" t="s">
        <v>246</v>
      </c>
      <c r="B57" s="86" t="s">
        <v>38</v>
      </c>
      <c r="C57" s="87">
        <v>467081</v>
      </c>
      <c r="D57" s="88">
        <v>45292</v>
      </c>
      <c r="E57" s="88">
        <v>45412</v>
      </c>
      <c r="F57" s="42">
        <f t="shared" si="4"/>
        <v>45350</v>
      </c>
      <c r="G57" s="112">
        <f>_xlfn.XLOOKUP(F57,'A-6 CMS Market Basket Index '!$AZ$3:$AZ$8,'A-6 CMS Market Basket Index '!$BF$3:$BF$8)</f>
        <v>1.0233000000000001</v>
      </c>
      <c r="H57" s="49">
        <v>29071</v>
      </c>
      <c r="I57" s="49">
        <v>18</v>
      </c>
      <c r="J57" s="80">
        <v>1615.06</v>
      </c>
      <c r="K57" s="76">
        <f t="shared" si="3"/>
        <v>1652.6908980000001</v>
      </c>
      <c r="L57" s="51" t="str">
        <f t="shared" si="6"/>
        <v>OL</v>
      </c>
      <c r="M57" s="90" t="s">
        <v>37</v>
      </c>
      <c r="N57" s="90">
        <v>84010</v>
      </c>
      <c r="O57" s="91" t="s">
        <v>212</v>
      </c>
      <c r="P57" s="92" t="s">
        <v>213</v>
      </c>
      <c r="Q57" s="52" t="s">
        <v>43</v>
      </c>
      <c r="R57" s="53" t="s">
        <v>36</v>
      </c>
      <c r="S57" s="267"/>
      <c r="T57" s="48"/>
      <c r="U57" s="48"/>
    </row>
    <row r="58" spans="1:21" s="46" customFormat="1" x14ac:dyDescent="0.25">
      <c r="A58" s="39" t="s">
        <v>245</v>
      </c>
      <c r="B58" s="40" t="s">
        <v>74</v>
      </c>
      <c r="C58" s="41" t="s">
        <v>73</v>
      </c>
      <c r="D58" s="42">
        <v>44927</v>
      </c>
      <c r="E58" s="42">
        <v>45291</v>
      </c>
      <c r="F58" s="42">
        <f t="shared" si="4"/>
        <v>45107</v>
      </c>
      <c r="G58" s="112">
        <f>_xlfn.XLOOKUP(F58,'A-6 CMS Market Basket Index '!$AZ$3:$AZ$8,'A-6 CMS Market Basket Index '!$BF$3:$BF$8)</f>
        <v>1.0538000000000001</v>
      </c>
      <c r="H58" s="44">
        <v>280902</v>
      </c>
      <c r="I58" s="44">
        <v>167</v>
      </c>
      <c r="J58" s="65">
        <v>1682.05</v>
      </c>
      <c r="K58" s="76">
        <f t="shared" si="3"/>
        <v>1772.54429</v>
      </c>
      <c r="L58" s="51" t="str">
        <f t="shared" si="6"/>
        <v>OL</v>
      </c>
      <c r="M58" s="46" t="s">
        <v>40</v>
      </c>
      <c r="N58" s="46">
        <v>84405</v>
      </c>
      <c r="O58" s="69" t="s">
        <v>224</v>
      </c>
      <c r="P58" s="70" t="s">
        <v>213</v>
      </c>
      <c r="R58" s="47"/>
      <c r="S58" s="267"/>
      <c r="T58" s="48"/>
      <c r="U58" s="48"/>
    </row>
    <row r="59" spans="1:21" s="46" customFormat="1" x14ac:dyDescent="0.25">
      <c r="A59" s="39" t="s">
        <v>245</v>
      </c>
      <c r="B59" s="40" t="s">
        <v>205</v>
      </c>
      <c r="C59" s="41" t="s">
        <v>206</v>
      </c>
      <c r="D59" s="42">
        <v>44927</v>
      </c>
      <c r="E59" s="42">
        <v>45291</v>
      </c>
      <c r="F59" s="42">
        <f t="shared" si="4"/>
        <v>45107</v>
      </c>
      <c r="G59" s="112">
        <f>_xlfn.XLOOKUP(F59,'A-6 CMS Market Basket Index '!$AZ$3:$AZ$8,'A-6 CMS Market Basket Index '!$BF$3:$BF$8)</f>
        <v>1.0538000000000001</v>
      </c>
      <c r="H59" s="44">
        <v>159869</v>
      </c>
      <c r="I59" s="44">
        <v>95</v>
      </c>
      <c r="J59" s="65">
        <v>1682.83</v>
      </c>
      <c r="K59" s="76">
        <f t="shared" si="3"/>
        <v>1773.366254</v>
      </c>
      <c r="L59" s="51" t="str">
        <f t="shared" si="6"/>
        <v>OL</v>
      </c>
      <c r="M59" s="46" t="s">
        <v>18</v>
      </c>
      <c r="N59" s="46">
        <v>84107</v>
      </c>
      <c r="O59" s="69" t="s">
        <v>218</v>
      </c>
      <c r="P59" s="70" t="s">
        <v>209</v>
      </c>
      <c r="R59" s="47"/>
      <c r="S59" s="267"/>
      <c r="T59" s="48"/>
      <c r="U59" s="48"/>
    </row>
    <row r="60" spans="1:21" s="46" customFormat="1" x14ac:dyDescent="0.25">
      <c r="A60" s="39" t="s">
        <v>245</v>
      </c>
      <c r="B60" s="40" t="s">
        <v>78</v>
      </c>
      <c r="C60" s="41" t="s">
        <v>79</v>
      </c>
      <c r="D60" s="42">
        <v>44927</v>
      </c>
      <c r="E60" s="42">
        <v>45291</v>
      </c>
      <c r="F60" s="42">
        <f t="shared" si="4"/>
        <v>45107</v>
      </c>
      <c r="G60" s="112">
        <f>_xlfn.XLOOKUP(F60,'A-6 CMS Market Basket Index '!$AZ$3:$AZ$8,'A-6 CMS Market Basket Index '!$BF$3:$BF$8)</f>
        <v>1.0538000000000001</v>
      </c>
      <c r="H60" s="44">
        <v>2204</v>
      </c>
      <c r="I60" s="44">
        <v>1</v>
      </c>
      <c r="J60" s="65">
        <v>2204</v>
      </c>
      <c r="K60" s="76">
        <f t="shared" si="3"/>
        <v>2322.5752000000002</v>
      </c>
      <c r="L60" s="51" t="str">
        <f t="shared" si="6"/>
        <v>OL</v>
      </c>
      <c r="M60" s="46" t="s">
        <v>80</v>
      </c>
      <c r="N60" s="46">
        <v>84654</v>
      </c>
      <c r="O60" s="69" t="s">
        <v>221</v>
      </c>
      <c r="P60" s="70" t="s">
        <v>209</v>
      </c>
      <c r="R60" s="47"/>
      <c r="S60" s="267"/>
      <c r="T60" s="48"/>
      <c r="U60" s="48"/>
    </row>
    <row r="61" spans="1:21" s="46" customFormat="1" x14ac:dyDescent="0.25">
      <c r="A61" s="39" t="s">
        <v>245</v>
      </c>
      <c r="B61" s="40" t="s">
        <v>136</v>
      </c>
      <c r="C61" s="41" t="s">
        <v>137</v>
      </c>
      <c r="D61" s="42">
        <v>44927</v>
      </c>
      <c r="E61" s="42">
        <v>45291</v>
      </c>
      <c r="F61" s="42">
        <f t="shared" si="4"/>
        <v>45107</v>
      </c>
      <c r="G61" s="112">
        <f>_xlfn.XLOOKUP(F61,'A-6 CMS Market Basket Index '!$AZ$3:$AZ$8,'A-6 CMS Market Basket Index '!$BF$3:$BF$8)</f>
        <v>1.0538000000000001</v>
      </c>
      <c r="H61" s="44">
        <v>5082</v>
      </c>
      <c r="I61" s="44">
        <v>2</v>
      </c>
      <c r="J61" s="65">
        <v>2541</v>
      </c>
      <c r="K61" s="76">
        <f t="shared" si="3"/>
        <v>2677.7058000000002</v>
      </c>
      <c r="L61" s="51" t="str">
        <f t="shared" si="6"/>
        <v>OL</v>
      </c>
      <c r="M61" s="46" t="s">
        <v>48</v>
      </c>
      <c r="N61" s="46">
        <v>84106</v>
      </c>
      <c r="O61" s="69" t="s">
        <v>218</v>
      </c>
      <c r="P61" s="70" t="s">
        <v>209</v>
      </c>
      <c r="R61" s="47"/>
      <c r="S61" s="267"/>
      <c r="T61" s="48"/>
      <c r="U61" s="48"/>
    </row>
    <row r="62" spans="1:21" s="46" customFormat="1" x14ac:dyDescent="0.25">
      <c r="A62" s="39" t="s">
        <v>245</v>
      </c>
      <c r="B62" s="40" t="s">
        <v>196</v>
      </c>
      <c r="C62" s="41" t="s">
        <v>197</v>
      </c>
      <c r="D62" s="42">
        <v>44927</v>
      </c>
      <c r="E62" s="42">
        <v>45291</v>
      </c>
      <c r="F62" s="42">
        <f t="shared" si="4"/>
        <v>45107</v>
      </c>
      <c r="G62" s="112">
        <f>_xlfn.XLOOKUP(F62,'A-6 CMS Market Basket Index '!$AZ$3:$AZ$8,'A-6 CMS Market Basket Index '!$BF$3:$BF$8)</f>
        <v>1.0538000000000001</v>
      </c>
      <c r="H62" s="44"/>
      <c r="I62" s="44"/>
      <c r="J62" s="65"/>
      <c r="K62" s="76" t="str">
        <f t="shared" si="3"/>
        <v/>
      </c>
      <c r="L62" s="51"/>
      <c r="M62" s="46" t="s">
        <v>48</v>
      </c>
      <c r="N62" s="46">
        <v>84107</v>
      </c>
      <c r="O62" s="69" t="s">
        <v>218</v>
      </c>
      <c r="P62" s="70" t="s">
        <v>209</v>
      </c>
      <c r="R62" s="47"/>
      <c r="S62" s="267"/>
      <c r="T62" s="48"/>
      <c r="U62" s="48"/>
    </row>
    <row r="63" spans="1:21" s="46" customFormat="1" x14ac:dyDescent="0.25">
      <c r="A63" s="39" t="s">
        <v>245</v>
      </c>
      <c r="B63" s="40" t="s">
        <v>189</v>
      </c>
      <c r="C63" s="41" t="s">
        <v>190</v>
      </c>
      <c r="D63" s="42">
        <v>45078</v>
      </c>
      <c r="E63" s="42">
        <v>45443</v>
      </c>
      <c r="F63" s="42">
        <f>((D63+E63)/2)</f>
        <v>45260.5</v>
      </c>
      <c r="G63" s="112">
        <f>_xlfn.XLOOKUP(F63,'A-6 CMS Market Basket Index '!$AZ$3:$AZ$8,'A-6 CMS Market Basket Index '!$BF$3:$BF$8)</f>
        <v>1.0366</v>
      </c>
      <c r="H63" s="44"/>
      <c r="I63" s="44"/>
      <c r="J63" s="65"/>
      <c r="K63" s="76" t="str">
        <f t="shared" si="3"/>
        <v/>
      </c>
      <c r="L63" s="51"/>
      <c r="M63" s="46" t="s">
        <v>191</v>
      </c>
      <c r="N63" s="46">
        <v>84317</v>
      </c>
      <c r="O63" s="69" t="s">
        <v>224</v>
      </c>
      <c r="P63" s="70" t="s">
        <v>213</v>
      </c>
      <c r="R63" s="47"/>
      <c r="S63" s="267"/>
      <c r="T63" s="48"/>
      <c r="U63" s="48"/>
    </row>
    <row r="64" spans="1:21" s="46" customFormat="1" x14ac:dyDescent="0.25">
      <c r="A64" s="39" t="s">
        <v>245</v>
      </c>
      <c r="B64" s="40" t="s">
        <v>203</v>
      </c>
      <c r="C64" s="41" t="s">
        <v>204</v>
      </c>
      <c r="D64" s="42">
        <v>44927</v>
      </c>
      <c r="E64" s="42">
        <v>45291</v>
      </c>
      <c r="F64" s="42">
        <f>((D64+E64)/2)-2</f>
        <v>45107</v>
      </c>
      <c r="G64" s="112">
        <f>_xlfn.XLOOKUP(F64,'A-6 CMS Market Basket Index '!$AZ$3:$AZ$8,'A-6 CMS Market Basket Index '!$BF$3:$BF$8)</f>
        <v>1.0538000000000001</v>
      </c>
      <c r="H64" s="44"/>
      <c r="I64" s="44"/>
      <c r="J64" s="65"/>
      <c r="K64" s="76" t="str">
        <f t="shared" si="3"/>
        <v/>
      </c>
      <c r="L64" s="51"/>
      <c r="M64" s="46" t="s">
        <v>17</v>
      </c>
      <c r="N64" s="46">
        <v>84097</v>
      </c>
      <c r="O64" s="69" t="s">
        <v>15</v>
      </c>
      <c r="P64" s="70" t="s">
        <v>213</v>
      </c>
      <c r="R64" s="47"/>
      <c r="S64" s="267"/>
      <c r="T64" s="48"/>
      <c r="U64" s="48"/>
    </row>
    <row r="65" spans="1:21" s="46" customFormat="1" x14ac:dyDescent="0.25">
      <c r="A65" s="39" t="s">
        <v>245</v>
      </c>
      <c r="B65" s="40" t="s">
        <v>175</v>
      </c>
      <c r="C65" s="41" t="s">
        <v>176</v>
      </c>
      <c r="D65" s="42">
        <v>44927</v>
      </c>
      <c r="E65" s="42">
        <v>45291</v>
      </c>
      <c r="F65" s="42">
        <f>((D65+E65)/2)-2</f>
        <v>45107</v>
      </c>
      <c r="G65" s="112">
        <f>_xlfn.XLOOKUP(F65,'A-6 CMS Market Basket Index '!$AZ$3:$AZ$8,'A-6 CMS Market Basket Index '!$BF$3:$BF$8)</f>
        <v>1.0538000000000001</v>
      </c>
      <c r="H65" s="44"/>
      <c r="I65" s="44"/>
      <c r="J65" s="65"/>
      <c r="K65" s="76" t="str">
        <f t="shared" si="3"/>
        <v/>
      </c>
      <c r="L65" s="51"/>
      <c r="M65" s="46" t="s">
        <v>177</v>
      </c>
      <c r="N65" s="46">
        <v>84332</v>
      </c>
      <c r="O65" s="69" t="s">
        <v>210</v>
      </c>
      <c r="P65" s="70" t="s">
        <v>209</v>
      </c>
      <c r="R65" s="47"/>
      <c r="S65" s="267"/>
      <c r="T65" s="48"/>
      <c r="U65" s="48"/>
    </row>
    <row r="66" spans="1:21" s="46" customFormat="1" x14ac:dyDescent="0.25">
      <c r="A66" s="39" t="s">
        <v>245</v>
      </c>
      <c r="B66" s="40" t="s">
        <v>123</v>
      </c>
      <c r="C66" s="41" t="s">
        <v>124</v>
      </c>
      <c r="D66" s="42">
        <v>44927</v>
      </c>
      <c r="E66" s="42">
        <v>45291</v>
      </c>
      <c r="F66" s="42">
        <f>((D66+E66)/2)-2</f>
        <v>45107</v>
      </c>
      <c r="G66" s="112">
        <f>_xlfn.XLOOKUP(F66,'A-6 CMS Market Basket Index '!$AZ$3:$AZ$8,'A-6 CMS Market Basket Index '!$BF$3:$BF$8)</f>
        <v>1.0538000000000001</v>
      </c>
      <c r="H66" s="44"/>
      <c r="I66" s="44"/>
      <c r="J66" s="65"/>
      <c r="K66" s="76" t="str">
        <f t="shared" si="3"/>
        <v/>
      </c>
      <c r="L66" s="51"/>
      <c r="M66" s="46" t="s">
        <v>23</v>
      </c>
      <c r="N66" s="46">
        <v>84088</v>
      </c>
      <c r="O66" s="69" t="s">
        <v>218</v>
      </c>
      <c r="P66" s="70" t="s">
        <v>209</v>
      </c>
      <c r="R66" s="47"/>
      <c r="S66" s="267"/>
      <c r="T66" s="48"/>
      <c r="U66" s="48"/>
    </row>
    <row r="67" spans="1:21" s="46" customFormat="1" x14ac:dyDescent="0.25">
      <c r="A67" s="39" t="s">
        <v>245</v>
      </c>
      <c r="B67" s="40" t="s">
        <v>174</v>
      </c>
      <c r="C67" s="41" t="s">
        <v>164</v>
      </c>
      <c r="D67" s="42">
        <v>44911</v>
      </c>
      <c r="E67" s="42">
        <v>45291</v>
      </c>
      <c r="F67" s="42">
        <f>((D67+E67)/2)+6</f>
        <v>45107</v>
      </c>
      <c r="G67" s="112">
        <f>_xlfn.XLOOKUP(F67,'A-6 CMS Market Basket Index '!$AZ$3:$AZ$8,'A-6 CMS Market Basket Index '!$BF$3:$BF$8)</f>
        <v>1.0538000000000001</v>
      </c>
      <c r="H67" s="44"/>
      <c r="I67" s="44"/>
      <c r="J67" s="65"/>
      <c r="K67" s="76" t="str">
        <f t="shared" si="3"/>
        <v/>
      </c>
      <c r="L67" s="51"/>
      <c r="M67" s="46" t="s">
        <v>112</v>
      </c>
      <c r="N67" s="46">
        <v>84043</v>
      </c>
      <c r="O67" s="69" t="s">
        <v>15</v>
      </c>
      <c r="P67" s="70" t="s">
        <v>213</v>
      </c>
      <c r="R67" s="47"/>
      <c r="S67" s="267"/>
      <c r="T67" s="48"/>
      <c r="U67" s="48"/>
    </row>
    <row r="68" spans="1:21" s="46" customFormat="1" x14ac:dyDescent="0.25">
      <c r="A68" s="39" t="s">
        <v>245</v>
      </c>
      <c r="B68" s="40" t="s">
        <v>140</v>
      </c>
      <c r="C68" s="41" t="s">
        <v>141</v>
      </c>
      <c r="D68" s="42">
        <v>44927</v>
      </c>
      <c r="E68" s="42">
        <v>45291</v>
      </c>
      <c r="F68" s="42">
        <f t="shared" ref="F68:F74" si="7">((D68+E68)/2)-2</f>
        <v>45107</v>
      </c>
      <c r="G68" s="112">
        <f>_xlfn.XLOOKUP(F68,'A-6 CMS Market Basket Index '!$AZ$3:$AZ$8,'A-6 CMS Market Basket Index '!$BF$3:$BF$8)</f>
        <v>1.0538000000000001</v>
      </c>
      <c r="H68" s="44"/>
      <c r="I68" s="44"/>
      <c r="J68" s="65"/>
      <c r="K68" s="76" t="str">
        <f t="shared" si="3"/>
        <v/>
      </c>
      <c r="L68" s="51"/>
      <c r="M68" s="46" t="s">
        <v>142</v>
      </c>
      <c r="N68" s="46">
        <v>84663</v>
      </c>
      <c r="O68" s="69" t="s">
        <v>15</v>
      </c>
      <c r="P68" s="70" t="s">
        <v>213</v>
      </c>
      <c r="R68" s="47"/>
      <c r="S68" s="267"/>
      <c r="T68" s="48"/>
      <c r="U68" s="48"/>
    </row>
    <row r="69" spans="1:21" s="46" customFormat="1" x14ac:dyDescent="0.25">
      <c r="A69" s="39" t="s">
        <v>245</v>
      </c>
      <c r="B69" s="40" t="s">
        <v>167</v>
      </c>
      <c r="C69" s="41" t="s">
        <v>168</v>
      </c>
      <c r="D69" s="42">
        <v>44927</v>
      </c>
      <c r="E69" s="42">
        <v>45291</v>
      </c>
      <c r="F69" s="42">
        <f t="shared" si="7"/>
        <v>45107</v>
      </c>
      <c r="G69" s="112">
        <f>_xlfn.XLOOKUP(F69,'A-6 CMS Market Basket Index '!$AZ$3:$AZ$8,'A-6 CMS Market Basket Index '!$BF$3:$BF$8)</f>
        <v>1.0538000000000001</v>
      </c>
      <c r="H69" s="44"/>
      <c r="I69" s="44"/>
      <c r="J69" s="65"/>
      <c r="K69" s="76" t="str">
        <f t="shared" si="3"/>
        <v/>
      </c>
      <c r="L69" s="51"/>
      <c r="M69" s="46" t="s">
        <v>46</v>
      </c>
      <c r="N69" s="46">
        <v>84660</v>
      </c>
      <c r="O69" s="69" t="s">
        <v>15</v>
      </c>
      <c r="P69" s="70" t="s">
        <v>213</v>
      </c>
      <c r="R69" s="47"/>
      <c r="S69" s="267"/>
      <c r="T69" s="48"/>
      <c r="U69" s="48"/>
    </row>
    <row r="70" spans="1:21" s="46" customFormat="1" x14ac:dyDescent="0.25">
      <c r="A70" s="39" t="s">
        <v>245</v>
      </c>
      <c r="B70" s="40" t="s">
        <v>67</v>
      </c>
      <c r="C70" s="41" t="s">
        <v>68</v>
      </c>
      <c r="D70" s="42">
        <v>44927</v>
      </c>
      <c r="E70" s="42">
        <v>45291</v>
      </c>
      <c r="F70" s="42">
        <f t="shared" si="7"/>
        <v>45107</v>
      </c>
      <c r="G70" s="112">
        <f>_xlfn.XLOOKUP(F70,'A-6 CMS Market Basket Index '!$AZ$3:$AZ$8,'A-6 CMS Market Basket Index '!$BF$3:$BF$8)</f>
        <v>1.0538000000000001</v>
      </c>
      <c r="H70" s="44"/>
      <c r="I70" s="44"/>
      <c r="J70" s="65"/>
      <c r="K70" s="76" t="str">
        <f t="shared" ref="K70:K78" si="8">IF(J70="","",J70*$G70)</f>
        <v/>
      </c>
      <c r="L70" s="51"/>
      <c r="M70" s="46" t="s">
        <v>52</v>
      </c>
      <c r="N70" s="46">
        <v>84790</v>
      </c>
      <c r="O70" s="69" t="s">
        <v>223</v>
      </c>
      <c r="P70" s="70" t="s">
        <v>209</v>
      </c>
      <c r="R70" s="47"/>
      <c r="S70" s="267"/>
      <c r="T70" s="48"/>
      <c r="U70" s="48"/>
    </row>
    <row r="71" spans="1:21" s="46" customFormat="1" x14ac:dyDescent="0.25">
      <c r="A71" s="39" t="s">
        <v>245</v>
      </c>
      <c r="B71" s="40" t="s">
        <v>147</v>
      </c>
      <c r="C71" s="41" t="s">
        <v>148</v>
      </c>
      <c r="D71" s="42">
        <v>44927</v>
      </c>
      <c r="E71" s="42">
        <v>45291</v>
      </c>
      <c r="F71" s="42">
        <f t="shared" si="7"/>
        <v>45107</v>
      </c>
      <c r="G71" s="112">
        <f>_xlfn.XLOOKUP(F71,'A-6 CMS Market Basket Index '!$AZ$3:$AZ$8,'A-6 CMS Market Basket Index '!$BF$3:$BF$8)</f>
        <v>1.0538000000000001</v>
      </c>
      <c r="H71" s="44"/>
      <c r="I71" s="44"/>
      <c r="J71" s="65"/>
      <c r="K71" s="76" t="str">
        <f t="shared" si="8"/>
        <v/>
      </c>
      <c r="L71" s="51"/>
      <c r="M71" s="46" t="s">
        <v>149</v>
      </c>
      <c r="N71" s="46">
        <v>84414</v>
      </c>
      <c r="O71" s="69" t="s">
        <v>224</v>
      </c>
      <c r="P71" s="70" t="s">
        <v>213</v>
      </c>
      <c r="R71" s="47"/>
      <c r="S71" s="267"/>
      <c r="T71" s="48"/>
      <c r="U71" s="48"/>
    </row>
    <row r="72" spans="1:21" s="46" customFormat="1" x14ac:dyDescent="0.25">
      <c r="A72" s="39" t="s">
        <v>245</v>
      </c>
      <c r="B72" s="40" t="s">
        <v>165</v>
      </c>
      <c r="C72" s="41" t="s">
        <v>166</v>
      </c>
      <c r="D72" s="42">
        <v>44927</v>
      </c>
      <c r="E72" s="42">
        <v>45291</v>
      </c>
      <c r="F72" s="42">
        <f t="shared" si="7"/>
        <v>45107</v>
      </c>
      <c r="G72" s="112">
        <f>_xlfn.XLOOKUP(F72,'A-6 CMS Market Basket Index '!$AZ$3:$AZ$8,'A-6 CMS Market Basket Index '!$BF$3:$BF$8)</f>
        <v>1.0538000000000001</v>
      </c>
      <c r="H72" s="44"/>
      <c r="I72" s="44"/>
      <c r="J72" s="65"/>
      <c r="K72" s="76" t="str">
        <f t="shared" si="8"/>
        <v/>
      </c>
      <c r="L72" s="51"/>
      <c r="M72" s="46" t="s">
        <v>42</v>
      </c>
      <c r="N72" s="46">
        <v>84093</v>
      </c>
      <c r="O72" s="69" t="s">
        <v>218</v>
      </c>
      <c r="P72" s="70" t="s">
        <v>209</v>
      </c>
      <c r="R72" s="47"/>
      <c r="S72" s="267"/>
      <c r="T72" s="48"/>
      <c r="U72" s="48"/>
    </row>
    <row r="73" spans="1:21" s="46" customFormat="1" x14ac:dyDescent="0.25">
      <c r="A73" s="39" t="s">
        <v>245</v>
      </c>
      <c r="B73" s="40" t="s">
        <v>111</v>
      </c>
      <c r="C73" s="41" t="s">
        <v>90</v>
      </c>
      <c r="D73" s="42">
        <v>44927</v>
      </c>
      <c r="E73" s="42">
        <v>45291</v>
      </c>
      <c r="F73" s="42">
        <f t="shared" si="7"/>
        <v>45107</v>
      </c>
      <c r="G73" s="112">
        <f>_xlfn.XLOOKUP(F73,'A-6 CMS Market Basket Index '!$AZ$3:$AZ$8,'A-6 CMS Market Basket Index '!$BF$3:$BF$8)</f>
        <v>1.0538000000000001</v>
      </c>
      <c r="H73" s="44"/>
      <c r="I73" s="44"/>
      <c r="J73" s="65"/>
      <c r="K73" s="76" t="str">
        <f t="shared" si="8"/>
        <v/>
      </c>
      <c r="L73" s="51"/>
      <c r="M73" s="46" t="s">
        <v>45</v>
      </c>
      <c r="N73" s="46">
        <v>84020</v>
      </c>
      <c r="O73" s="69" t="s">
        <v>218</v>
      </c>
      <c r="P73" s="70" t="s">
        <v>209</v>
      </c>
      <c r="R73" s="47"/>
      <c r="S73" s="267"/>
      <c r="T73" s="48"/>
      <c r="U73" s="48"/>
    </row>
    <row r="74" spans="1:21" s="52" customFormat="1" x14ac:dyDescent="0.25">
      <c r="A74" s="39" t="s">
        <v>245</v>
      </c>
      <c r="B74" s="40" t="s">
        <v>109</v>
      </c>
      <c r="C74" s="41" t="s">
        <v>110</v>
      </c>
      <c r="D74" s="42">
        <v>44927</v>
      </c>
      <c r="E74" s="42">
        <v>45291</v>
      </c>
      <c r="F74" s="42">
        <f t="shared" si="7"/>
        <v>45107</v>
      </c>
      <c r="G74" s="112">
        <f>_xlfn.XLOOKUP(F74,'A-6 CMS Market Basket Index '!$AZ$3:$AZ$8,'A-6 CMS Market Basket Index '!$BF$3:$BF$8)</f>
        <v>1.0538000000000001</v>
      </c>
      <c r="H74" s="44"/>
      <c r="I74" s="44"/>
      <c r="J74" s="65"/>
      <c r="K74" s="76" t="str">
        <f t="shared" si="8"/>
        <v/>
      </c>
      <c r="L74" s="51"/>
      <c r="M74" s="46" t="s">
        <v>44</v>
      </c>
      <c r="N74" s="46">
        <v>84501</v>
      </c>
      <c r="O74" s="69" t="s">
        <v>211</v>
      </c>
      <c r="P74" s="70" t="s">
        <v>209</v>
      </c>
      <c r="Q74" s="46"/>
      <c r="R74" s="47"/>
      <c r="T74" s="54"/>
      <c r="U74" s="54"/>
    </row>
    <row r="75" spans="1:21" s="52" customFormat="1" x14ac:dyDescent="0.25">
      <c r="A75" s="39" t="s">
        <v>245</v>
      </c>
      <c r="B75" s="40" t="s">
        <v>98</v>
      </c>
      <c r="C75" s="41" t="s">
        <v>99</v>
      </c>
      <c r="D75" s="42">
        <v>45017</v>
      </c>
      <c r="E75" s="42">
        <v>45322</v>
      </c>
      <c r="F75" s="42">
        <f>((D75+E75)/2)</f>
        <v>45169.5</v>
      </c>
      <c r="G75" s="112">
        <f>_xlfn.XLOOKUP(F75,'A-6 CMS Market Basket Index '!$AZ$3:$AZ$8,'A-6 CMS Market Basket Index '!$BF$3:$BF$8)</f>
        <v>1.0426</v>
      </c>
      <c r="H75" s="44"/>
      <c r="I75" s="44"/>
      <c r="J75" s="65"/>
      <c r="K75" s="76" t="str">
        <f t="shared" si="8"/>
        <v/>
      </c>
      <c r="L75" s="51"/>
      <c r="M75" s="46" t="s">
        <v>52</v>
      </c>
      <c r="N75" s="46">
        <v>84790</v>
      </c>
      <c r="O75" s="69" t="s">
        <v>223</v>
      </c>
      <c r="P75" s="70" t="s">
        <v>209</v>
      </c>
      <c r="Q75" s="46"/>
      <c r="R75" s="47"/>
      <c r="T75" s="54"/>
      <c r="U75" s="54"/>
    </row>
    <row r="76" spans="1:21" s="52" customFormat="1" x14ac:dyDescent="0.25">
      <c r="A76" s="50" t="s">
        <v>246</v>
      </c>
      <c r="B76" s="86" t="s">
        <v>22</v>
      </c>
      <c r="C76" s="87">
        <v>467039</v>
      </c>
      <c r="D76" s="88">
        <v>44743</v>
      </c>
      <c r="E76" s="88">
        <v>45107</v>
      </c>
      <c r="F76" s="42">
        <f>((D76+E76)/2)+1</f>
        <v>44926</v>
      </c>
      <c r="G76" s="112">
        <f>_xlfn.XLOOKUP(F76,'A-6 CMS Market Basket Index '!$AZ$3:$AZ$8,'A-6 CMS Market Basket Index '!$BF$3:$BF$8)</f>
        <v>1.0788</v>
      </c>
      <c r="H76" s="49"/>
      <c r="I76" s="49"/>
      <c r="J76" s="80"/>
      <c r="K76" s="76" t="str">
        <f t="shared" si="8"/>
        <v/>
      </c>
      <c r="L76" s="51"/>
      <c r="M76" s="90" t="s">
        <v>21</v>
      </c>
      <c r="N76" s="90">
        <v>84066</v>
      </c>
      <c r="O76" s="91" t="s">
        <v>214</v>
      </c>
      <c r="P76" s="92" t="s">
        <v>209</v>
      </c>
      <c r="Q76" s="52" t="s">
        <v>19</v>
      </c>
      <c r="R76" s="53" t="s">
        <v>20</v>
      </c>
      <c r="T76" s="54"/>
      <c r="U76" s="54"/>
    </row>
    <row r="77" spans="1:21" s="52" customFormat="1" x14ac:dyDescent="0.25">
      <c r="A77" s="50" t="s">
        <v>246</v>
      </c>
      <c r="B77" s="86" t="s">
        <v>31</v>
      </c>
      <c r="C77" s="87">
        <v>467034</v>
      </c>
      <c r="D77" s="88">
        <v>45108</v>
      </c>
      <c r="E77" s="88">
        <v>45473</v>
      </c>
      <c r="F77" s="42">
        <f>((D77+E77)/2)+1</f>
        <v>45291.5</v>
      </c>
      <c r="G77" s="112">
        <f>_xlfn.XLOOKUP(F77,'A-6 CMS Market Basket Index '!$AZ$3:$AZ$8,'A-6 CMS Market Basket Index '!$BF$3:$BF$8)</f>
        <v>1.0366</v>
      </c>
      <c r="H77" s="49"/>
      <c r="I77" s="49"/>
      <c r="J77" s="80"/>
      <c r="K77" s="76" t="str">
        <f t="shared" si="8"/>
        <v/>
      </c>
      <c r="L77" s="51"/>
      <c r="M77" s="90" t="s">
        <v>30</v>
      </c>
      <c r="N77" s="90">
        <v>84648</v>
      </c>
      <c r="O77" s="91" t="s">
        <v>217</v>
      </c>
      <c r="P77" s="92" t="s">
        <v>209</v>
      </c>
      <c r="Q77" s="52" t="s">
        <v>28</v>
      </c>
      <c r="R77" s="53" t="s">
        <v>29</v>
      </c>
      <c r="T77" s="54"/>
      <c r="U77" s="54"/>
    </row>
    <row r="78" spans="1:21" s="52" customFormat="1" x14ac:dyDescent="0.25">
      <c r="A78" s="50" t="s">
        <v>246</v>
      </c>
      <c r="B78" s="86" t="s">
        <v>27</v>
      </c>
      <c r="C78" s="87">
        <v>467038</v>
      </c>
      <c r="D78" s="88">
        <v>45108</v>
      </c>
      <c r="E78" s="88">
        <v>45473</v>
      </c>
      <c r="F78" s="42">
        <f>((D78+E78)/2)+1</f>
        <v>45291.5</v>
      </c>
      <c r="G78" s="112">
        <f>_xlfn.XLOOKUP(F78,'A-6 CMS Market Basket Index '!$AZ$3:$AZ$8,'A-6 CMS Market Basket Index '!$BF$3:$BF$8)</f>
        <v>1.0366</v>
      </c>
      <c r="H78" s="49"/>
      <c r="I78" s="49"/>
      <c r="J78" s="80"/>
      <c r="K78" s="76" t="str">
        <f t="shared" si="8"/>
        <v/>
      </c>
      <c r="L78" s="51"/>
      <c r="M78" s="90" t="s">
        <v>26</v>
      </c>
      <c r="N78" s="90">
        <v>84713</v>
      </c>
      <c r="O78" s="91" t="s">
        <v>208</v>
      </c>
      <c r="P78" s="92" t="s">
        <v>209</v>
      </c>
      <c r="Q78" s="52" t="s">
        <v>24</v>
      </c>
      <c r="R78" s="53" t="s">
        <v>25</v>
      </c>
      <c r="T78" s="54"/>
      <c r="U78" s="54"/>
    </row>
    <row r="79" spans="1:21" s="133" customFormat="1" ht="15.75" thickBot="1" x14ac:dyDescent="0.3">
      <c r="A79" s="124" t="s">
        <v>386</v>
      </c>
      <c r="B79" s="125"/>
      <c r="C79" s="126"/>
      <c r="D79" s="127"/>
      <c r="E79" s="127"/>
      <c r="F79" s="127"/>
      <c r="G79" s="128">
        <f>AVERAGE(G6:G78)</f>
        <v>1.0526287671232879</v>
      </c>
      <c r="H79" s="129">
        <f>SUM(H6:H78)</f>
        <v>1842093</v>
      </c>
      <c r="I79" s="130">
        <f>SUM(I6:I78)</f>
        <v>3597</v>
      </c>
      <c r="J79" s="131">
        <f>H79/I79</f>
        <v>512.11926605504584</v>
      </c>
      <c r="K79" s="131">
        <f t="shared" ref="K79" si="9">J79*$G79</f>
        <v>539.07147164760602</v>
      </c>
      <c r="L79" s="132"/>
      <c r="O79" s="134"/>
      <c r="P79" s="135"/>
    </row>
    <row r="80" spans="1:21" s="46" customFormat="1" ht="15.75" thickTop="1" x14ac:dyDescent="0.25">
      <c r="A80" s="39"/>
      <c r="B80" s="40"/>
      <c r="C80" s="41"/>
      <c r="D80" s="42"/>
      <c r="E80" s="42"/>
      <c r="F80" s="42"/>
      <c r="G80" s="42"/>
      <c r="H80" s="44"/>
      <c r="I80" s="44"/>
      <c r="J80" s="65"/>
      <c r="K80" s="65"/>
      <c r="L80" s="71"/>
      <c r="O80" s="69"/>
      <c r="P80" s="70"/>
    </row>
    <row r="81" spans="1:16" s="46" customFormat="1" x14ac:dyDescent="0.25">
      <c r="A81" s="39"/>
      <c r="B81" s="40"/>
      <c r="C81" s="41"/>
      <c r="D81" s="42"/>
      <c r="E81" s="55" t="s">
        <v>247</v>
      </c>
      <c r="F81" s="42"/>
      <c r="G81" s="42"/>
      <c r="H81" s="122"/>
      <c r="I81" s="57"/>
      <c r="J81" s="57" t="s">
        <v>390</v>
      </c>
      <c r="K81" s="57"/>
      <c r="L81" s="58"/>
      <c r="O81" s="69"/>
      <c r="P81" s="70"/>
    </row>
    <row r="82" spans="1:16" s="46" customFormat="1" ht="17.25" x14ac:dyDescent="0.4">
      <c r="A82" s="39"/>
      <c r="B82" s="40"/>
      <c r="C82" s="59"/>
      <c r="D82" s="42"/>
      <c r="E82" s="42"/>
      <c r="F82" s="42"/>
      <c r="G82" s="42"/>
      <c r="H82" s="122"/>
      <c r="I82" s="61"/>
      <c r="J82" s="61" t="s">
        <v>383</v>
      </c>
      <c r="K82" s="61" t="s">
        <v>389</v>
      </c>
      <c r="L82" s="62"/>
      <c r="O82" s="69"/>
      <c r="P82" s="70"/>
    </row>
    <row r="83" spans="1:16" s="46" customFormat="1" x14ac:dyDescent="0.25">
      <c r="A83" s="39"/>
      <c r="B83" s="40"/>
      <c r="C83" s="59"/>
      <c r="D83" s="42"/>
      <c r="F83" s="42"/>
      <c r="G83" s="42" t="s">
        <v>248</v>
      </c>
      <c r="H83" s="122"/>
      <c r="I83" s="72"/>
      <c r="J83" s="72">
        <f>MIN(K$6:K$54)</f>
        <v>0.30560199999999998</v>
      </c>
      <c r="K83" s="72">
        <f>MIN(K$6:K$78)</f>
        <v>0.30560199999999998</v>
      </c>
      <c r="L83" s="64"/>
      <c r="O83" s="69"/>
      <c r="P83" s="70"/>
    </row>
    <row r="84" spans="1:16" s="46" customFormat="1" x14ac:dyDescent="0.25">
      <c r="A84" s="39"/>
      <c r="B84" s="40"/>
      <c r="C84" s="59"/>
      <c r="D84" s="42"/>
      <c r="F84" s="42"/>
      <c r="G84" s="42" t="s">
        <v>249</v>
      </c>
      <c r="H84" s="122"/>
      <c r="I84" s="72"/>
      <c r="J84" s="72">
        <f>MAX(K$6:K$54)</f>
        <v>969.4643860000001</v>
      </c>
      <c r="K84" s="72">
        <f>MAX(K$6:K$78)</f>
        <v>2677.7058000000002</v>
      </c>
      <c r="L84" s="64"/>
      <c r="O84" s="69"/>
      <c r="P84" s="70"/>
    </row>
    <row r="85" spans="1:16" s="46" customFormat="1" x14ac:dyDescent="0.25">
      <c r="A85" s="39"/>
      <c r="B85" s="40"/>
      <c r="C85" s="59"/>
      <c r="D85" s="42"/>
      <c r="F85" s="42"/>
      <c r="G85" s="42" t="s">
        <v>250</v>
      </c>
      <c r="H85" s="122"/>
      <c r="I85" s="72"/>
      <c r="J85" s="72" cm="1">
        <f t="array" ref="J85">ROUND(MEDIAN(IF(K$6:K$54&gt;0,K$6:K$54)),2)</f>
        <v>176.13</v>
      </c>
      <c r="K85" s="72" cm="1">
        <f t="array" ref="K85">ROUND(MEDIAN(IF(K$6:K$78&gt;0,K$6:K$78)),2)</f>
        <v>203.38</v>
      </c>
      <c r="L85" s="64"/>
      <c r="O85" s="69"/>
      <c r="P85" s="70"/>
    </row>
    <row r="86" spans="1:16" s="46" customFormat="1" x14ac:dyDescent="0.25">
      <c r="A86" s="39"/>
      <c r="B86" s="40"/>
      <c r="C86" s="59"/>
      <c r="D86" s="42"/>
      <c r="F86" s="42"/>
      <c r="G86" s="42" t="s">
        <v>251</v>
      </c>
      <c r="H86" s="122"/>
      <c r="I86" s="72"/>
      <c r="J86" s="72">
        <f>AVERAGE(K$6:K$54)</f>
        <v>250.33987677551013</v>
      </c>
      <c r="K86" s="72">
        <f>AVERAGE(K$6:K$78)</f>
        <v>450.93261071428566</v>
      </c>
      <c r="L86" s="64"/>
      <c r="O86" s="69"/>
      <c r="P86" s="70"/>
    </row>
    <row r="87" spans="1:16" s="90" customFormat="1" x14ac:dyDescent="0.25">
      <c r="A87" s="167"/>
      <c r="B87" s="168" t="s">
        <v>458</v>
      </c>
      <c r="C87" s="169"/>
      <c r="D87" s="170"/>
      <c r="E87" s="171"/>
      <c r="F87" s="170"/>
      <c r="G87" s="170" t="s">
        <v>252</v>
      </c>
      <c r="H87" s="174"/>
      <c r="I87" s="172"/>
      <c r="J87" s="173">
        <f>SUMPRODUCT(K6:K54,I6:I54)/SUM(I6:I54)</f>
        <v>322.44823442668473</v>
      </c>
      <c r="K87" s="176">
        <f>K79</f>
        <v>539.07147164760602</v>
      </c>
      <c r="L87" s="177"/>
      <c r="O87" s="91"/>
      <c r="P87" s="92"/>
    </row>
    <row r="88" spans="1:16" s="46" customFormat="1" x14ac:dyDescent="0.25">
      <c r="A88" s="39"/>
      <c r="B88" s="40"/>
      <c r="C88" s="59"/>
      <c r="F88" s="66">
        <v>0.5</v>
      </c>
      <c r="G88" s="42" t="s">
        <v>253</v>
      </c>
      <c r="H88" s="122"/>
      <c r="I88" s="72"/>
      <c r="J88" s="72">
        <f>ROUND(_xlfn.PERCENTILE.INC(K$6:K$54,$F$88),2)</f>
        <v>176.13</v>
      </c>
      <c r="K88" s="72">
        <f>ROUND(_xlfn.PERCENTILE.INC(K$6:K$78,$F$88),2)</f>
        <v>203.38</v>
      </c>
      <c r="L88" s="64"/>
      <c r="O88" s="69"/>
      <c r="P88" s="70"/>
    </row>
    <row r="89" spans="1:16" s="46" customFormat="1" x14ac:dyDescent="0.25">
      <c r="A89" s="39"/>
      <c r="B89" s="40"/>
      <c r="C89" s="41"/>
      <c r="D89" s="42"/>
      <c r="F89" s="42"/>
      <c r="G89" s="42" t="s">
        <v>387</v>
      </c>
      <c r="H89" s="43"/>
      <c r="I89" s="44"/>
      <c r="J89" s="65">
        <f>_xlfn.STDEV.P(K6:K54)</f>
        <v>226.09624796956655</v>
      </c>
      <c r="K89" s="65">
        <f>_xlfn.STDEV.P(K6:K78)</f>
        <v>592.60451627415989</v>
      </c>
      <c r="L89" s="45"/>
      <c r="O89" s="69"/>
      <c r="P89" s="70"/>
    </row>
    <row r="90" spans="1:16" x14ac:dyDescent="0.25">
      <c r="G90" s="46" t="s">
        <v>444</v>
      </c>
      <c r="H90" s="67"/>
      <c r="K90" s="65">
        <f>_xlfn.QUARTILE.INC(K6:K78,1)</f>
        <v>131.75397950000001</v>
      </c>
      <c r="L90" s="68"/>
    </row>
    <row r="91" spans="1:16" x14ac:dyDescent="0.25">
      <c r="G91" s="46" t="s">
        <v>445</v>
      </c>
      <c r="K91" s="65">
        <f>_xlfn.QUARTILE.INC(K6:K78,2)</f>
        <v>203.38340000000002</v>
      </c>
    </row>
    <row r="92" spans="1:16" x14ac:dyDescent="0.25">
      <c r="G92" s="46" t="s">
        <v>446</v>
      </c>
      <c r="K92" s="65">
        <f>_xlfn.QUARTILE.INC(K6:K78,3)</f>
        <v>482.25839750000006</v>
      </c>
    </row>
    <row r="93" spans="1:16" x14ac:dyDescent="0.25">
      <c r="G93" s="46" t="s">
        <v>447</v>
      </c>
      <c r="K93" s="65">
        <f>_xlfn.QUARTILE.INC(K6:K78,4)</f>
        <v>2677.7058000000002</v>
      </c>
    </row>
    <row r="94" spans="1:16" x14ac:dyDescent="0.25">
      <c r="G94" s="46" t="s">
        <v>448</v>
      </c>
      <c r="K94" s="65">
        <f>K92-K90</f>
        <v>350.50441800000004</v>
      </c>
    </row>
    <row r="95" spans="1:16" x14ac:dyDescent="0.25">
      <c r="G95" s="46" t="s">
        <v>451</v>
      </c>
      <c r="K95" s="65">
        <f>K92+K94*1.5</f>
        <v>1008.0150245000002</v>
      </c>
    </row>
    <row r="96" spans="1:16" x14ac:dyDescent="0.25">
      <c r="G96" s="46" t="s">
        <v>452</v>
      </c>
      <c r="J96" s="162" t="str">
        <f>IF(K96&lt;0,"Negative, no low outlier","")</f>
        <v>Negative, no low outlier</v>
      </c>
      <c r="K96" s="65">
        <f>K90-1.5*K94</f>
        <v>-394.00264750000008</v>
      </c>
    </row>
  </sheetData>
  <autoFilter ref="B4:O89" xr:uid="{00000000-0009-0000-0000-000009000000}"/>
  <sortState xmlns:xlrd2="http://schemas.microsoft.com/office/spreadsheetml/2017/richdata2" ref="A6:R78">
    <sortCondition ref="K6:K78"/>
  </sortState>
  <mergeCells count="1">
    <mergeCell ref="L2:L4"/>
  </mergeCells>
  <pageMargins left="0.7" right="0.7" top="0.75" bottom="0.75" header="0.3" footer="0.3"/>
  <pageSetup paperSize="3" scale="38" fitToHeight="0" orientation="landscape" verticalDpi="0" r:id="rId1"/>
  <rowBreaks count="1" manualBreakCount="1">
    <brk id="88" max="16383" man="1"/>
  </rowBreaks>
  <customProperties>
    <customPr name="OrphanNamesChecke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FF59A-65C8-400D-AEF2-94463BEAB55F}">
  <sheetPr>
    <tabColor rgb="FF92D050"/>
    <pageSetUpPr fitToPage="1"/>
  </sheetPr>
  <dimension ref="A1:U96"/>
  <sheetViews>
    <sheetView workbookViewId="0">
      <selection activeCell="Q31" sqref="Q31"/>
    </sheetView>
  </sheetViews>
  <sheetFormatPr defaultRowHeight="15" x14ac:dyDescent="0.25"/>
  <cols>
    <col min="1" max="1" width="6.5703125" customWidth="1"/>
    <col min="2" max="2" width="27.85546875" style="1" customWidth="1"/>
    <col min="3" max="3" width="9.42578125" style="20" customWidth="1"/>
    <col min="4" max="7" width="10" style="2" customWidth="1"/>
    <col min="8" max="8" width="12.85546875" customWidth="1"/>
    <col min="9" max="9" width="11.28515625" customWidth="1"/>
    <col min="10" max="11" width="11.42578125" style="77" customWidth="1"/>
    <col min="12" max="12" width="4.28515625" style="85" customWidth="1"/>
    <col min="13" max="13" width="10" customWidth="1"/>
    <col min="14" max="14" width="8.85546875" customWidth="1"/>
    <col min="15" max="16" width="11.42578125" style="4" customWidth="1"/>
    <col min="17" max="17" width="24.140625" customWidth="1"/>
  </cols>
  <sheetData>
    <row r="1" spans="1:21" s="18" customFormat="1" ht="39" customHeight="1" x14ac:dyDescent="0.55000000000000004">
      <c r="A1" s="9" t="s">
        <v>393</v>
      </c>
      <c r="B1" s="10"/>
      <c r="C1" s="10"/>
      <c r="D1" s="6"/>
      <c r="E1" s="6"/>
      <c r="F1" s="6"/>
      <c r="G1" s="6"/>
      <c r="H1" s="12" t="s">
        <v>233</v>
      </c>
      <c r="I1" s="12"/>
      <c r="J1" s="12"/>
      <c r="K1" s="12"/>
      <c r="L1" s="16"/>
      <c r="M1" s="17" t="s">
        <v>12</v>
      </c>
      <c r="N1" s="17" t="s">
        <v>14</v>
      </c>
      <c r="O1" s="17" t="s">
        <v>207</v>
      </c>
      <c r="P1" s="17" t="s">
        <v>234</v>
      </c>
      <c r="Q1" s="5" t="s">
        <v>235</v>
      </c>
      <c r="R1" s="5" t="s">
        <v>236</v>
      </c>
    </row>
    <row r="2" spans="1:21" ht="18.75" x14ac:dyDescent="0.4">
      <c r="A2" s="19" t="s">
        <v>237</v>
      </c>
      <c r="D2" s="1"/>
      <c r="G2" s="113" t="s">
        <v>257</v>
      </c>
      <c r="H2" s="22" t="s">
        <v>238</v>
      </c>
      <c r="I2" s="22" t="s">
        <v>239</v>
      </c>
      <c r="J2" s="73" t="s">
        <v>240</v>
      </c>
      <c r="K2" s="73" t="s">
        <v>258</v>
      </c>
      <c r="L2" s="281" t="s">
        <v>384</v>
      </c>
      <c r="M2" s="25"/>
      <c r="N2" s="25"/>
      <c r="O2" s="25"/>
      <c r="P2" s="25"/>
    </row>
    <row r="3" spans="1:21" s="5" customFormat="1" x14ac:dyDescent="0.25">
      <c r="A3" s="19" t="s">
        <v>241</v>
      </c>
      <c r="B3" s="8"/>
      <c r="C3" s="8" t="s">
        <v>242</v>
      </c>
      <c r="D3" s="8"/>
      <c r="E3" s="26"/>
      <c r="F3" s="26" t="s">
        <v>255</v>
      </c>
      <c r="G3" s="114" t="s">
        <v>259</v>
      </c>
      <c r="H3" s="8" t="s">
        <v>55</v>
      </c>
      <c r="I3" s="8" t="s">
        <v>55</v>
      </c>
      <c r="J3" s="74" t="s">
        <v>55</v>
      </c>
      <c r="K3" s="74" t="s">
        <v>259</v>
      </c>
      <c r="L3" s="281"/>
      <c r="M3" s="8" t="s">
        <v>3</v>
      </c>
      <c r="N3" s="8" t="s">
        <v>3</v>
      </c>
      <c r="O3" s="3"/>
      <c r="P3" s="3"/>
    </row>
    <row r="4" spans="1:21" s="5" customFormat="1" x14ac:dyDescent="0.25">
      <c r="A4" s="5" t="s">
        <v>243</v>
      </c>
      <c r="B4" s="29" t="s">
        <v>13</v>
      </c>
      <c r="C4" s="29" t="s">
        <v>244</v>
      </c>
      <c r="D4" s="30" t="s">
        <v>10</v>
      </c>
      <c r="E4" s="30" t="s">
        <v>11</v>
      </c>
      <c r="F4" s="30" t="s">
        <v>256</v>
      </c>
      <c r="G4" s="115" t="s">
        <v>261</v>
      </c>
      <c r="H4" s="29" t="s">
        <v>3</v>
      </c>
      <c r="I4" s="29" t="s">
        <v>4</v>
      </c>
      <c r="J4" s="29" t="s">
        <v>6</v>
      </c>
      <c r="K4" s="29" t="s">
        <v>260</v>
      </c>
      <c r="L4" s="282"/>
      <c r="M4" s="29" t="s">
        <v>5</v>
      </c>
      <c r="N4" s="29" t="s">
        <v>4</v>
      </c>
      <c r="O4" s="3"/>
      <c r="P4" s="3"/>
    </row>
    <row r="5" spans="1:21" s="34" customFormat="1" ht="18.75" x14ac:dyDescent="0.4">
      <c r="A5" s="33" t="s">
        <v>254</v>
      </c>
      <c r="C5" s="35"/>
      <c r="D5" s="36"/>
      <c r="E5" s="36"/>
      <c r="F5" s="36"/>
      <c r="G5" s="36"/>
      <c r="H5" s="35"/>
      <c r="I5" s="35"/>
      <c r="J5" s="75"/>
      <c r="K5" s="75"/>
      <c r="L5" s="81"/>
      <c r="M5" s="35"/>
      <c r="N5" s="35"/>
    </row>
    <row r="6" spans="1:21" s="46" customFormat="1" x14ac:dyDescent="0.25">
      <c r="A6" s="50" t="s">
        <v>246</v>
      </c>
      <c r="B6" s="86" t="s">
        <v>22</v>
      </c>
      <c r="C6" s="87">
        <v>467039</v>
      </c>
      <c r="D6" s="88">
        <v>44743</v>
      </c>
      <c r="E6" s="88">
        <v>45107</v>
      </c>
      <c r="F6" s="42">
        <f>((D6+E6)/2)+1</f>
        <v>44926</v>
      </c>
      <c r="G6" s="112">
        <f>_xlfn.XLOOKUP(F6,'A-6 CMS Market Basket Index '!$AZ$3:$AZ$8,'A-6 CMS Market Basket Index '!$BF$3:$BF$8)</f>
        <v>1.0788</v>
      </c>
      <c r="H6" s="49">
        <v>49804</v>
      </c>
      <c r="I6" s="49">
        <v>3789</v>
      </c>
      <c r="J6" s="80">
        <v>13.14</v>
      </c>
      <c r="K6" s="76">
        <f t="shared" ref="K6:K37" si="0">IF(J6="","",J6*$G6)</f>
        <v>14.175432000000001</v>
      </c>
      <c r="L6" s="51" t="str">
        <f>IF($K$96&lt;0,"",IF(K6&lt;$K$96,"OL",""))</f>
        <v/>
      </c>
      <c r="M6" s="90" t="s">
        <v>21</v>
      </c>
      <c r="N6" s="90">
        <v>84066</v>
      </c>
      <c r="O6" s="91" t="s">
        <v>214</v>
      </c>
      <c r="P6" s="92" t="s">
        <v>209</v>
      </c>
      <c r="Q6" s="52" t="s">
        <v>19</v>
      </c>
      <c r="R6" s="53" t="s">
        <v>20</v>
      </c>
      <c r="S6" s="267"/>
      <c r="T6" s="48"/>
      <c r="U6" s="48"/>
    </row>
    <row r="7" spans="1:21" s="46" customFormat="1" x14ac:dyDescent="0.25">
      <c r="A7" s="39" t="s">
        <v>245</v>
      </c>
      <c r="B7" s="40" t="s">
        <v>95</v>
      </c>
      <c r="C7" s="41" t="s">
        <v>96</v>
      </c>
      <c r="D7" s="42">
        <v>44927</v>
      </c>
      <c r="E7" s="42">
        <v>45291</v>
      </c>
      <c r="F7" s="42">
        <f>((D7+E7)/2)-2</f>
        <v>45107</v>
      </c>
      <c r="G7" s="112">
        <f>_xlfn.XLOOKUP(F7,'A-6 CMS Market Basket Index '!$AZ$3:$AZ$8,'A-6 CMS Market Basket Index '!$BF$3:$BF$8)</f>
        <v>1.0538000000000001</v>
      </c>
      <c r="H7" s="44">
        <v>25056</v>
      </c>
      <c r="I7" s="44">
        <v>1696</v>
      </c>
      <c r="J7" s="65">
        <v>14.77</v>
      </c>
      <c r="K7" s="76">
        <f t="shared" si="0"/>
        <v>15.564626000000001</v>
      </c>
      <c r="L7" s="51" t="str">
        <f t="shared" ref="L7:L25" si="1">IF($K$96&lt;0,"",IF(K7&lt;$K$96,"OL",""))</f>
        <v/>
      </c>
      <c r="M7" s="46" t="s">
        <v>97</v>
      </c>
      <c r="N7" s="46">
        <v>84015</v>
      </c>
      <c r="O7" s="69" t="s">
        <v>212</v>
      </c>
      <c r="P7" s="70" t="s">
        <v>213</v>
      </c>
      <c r="R7" s="47"/>
      <c r="S7" s="267"/>
      <c r="T7" s="48"/>
      <c r="U7" s="48"/>
    </row>
    <row r="8" spans="1:21" s="46" customFormat="1" x14ac:dyDescent="0.25">
      <c r="A8" s="50" t="s">
        <v>246</v>
      </c>
      <c r="B8" s="86" t="s">
        <v>38</v>
      </c>
      <c r="C8" s="87">
        <v>467081</v>
      </c>
      <c r="D8" s="88">
        <v>45292</v>
      </c>
      <c r="E8" s="88">
        <v>45412</v>
      </c>
      <c r="F8" s="42">
        <f>((D8+E8)/2)-2</f>
        <v>45350</v>
      </c>
      <c r="G8" s="112">
        <f>_xlfn.XLOOKUP(F8,'A-6 CMS Market Basket Index '!$AZ$3:$AZ$8,'A-6 CMS Market Basket Index '!$BF$3:$BF$8)</f>
        <v>1.0233000000000001</v>
      </c>
      <c r="H8" s="49">
        <v>22211</v>
      </c>
      <c r="I8" s="49">
        <v>1199</v>
      </c>
      <c r="J8" s="80">
        <v>18.52</v>
      </c>
      <c r="K8" s="76">
        <f t="shared" si="0"/>
        <v>18.951516000000002</v>
      </c>
      <c r="L8" s="51" t="str">
        <f t="shared" si="1"/>
        <v/>
      </c>
      <c r="M8" s="90" t="s">
        <v>37</v>
      </c>
      <c r="N8" s="90">
        <v>84010</v>
      </c>
      <c r="O8" s="91" t="s">
        <v>212</v>
      </c>
      <c r="P8" s="92" t="s">
        <v>213</v>
      </c>
      <c r="Q8" s="52" t="s">
        <v>43</v>
      </c>
      <c r="R8" s="53" t="s">
        <v>36</v>
      </c>
      <c r="S8" s="267"/>
      <c r="T8" s="48"/>
      <c r="U8" s="48"/>
    </row>
    <row r="9" spans="1:21" s="46" customFormat="1" x14ac:dyDescent="0.25">
      <c r="A9" s="39" t="s">
        <v>245</v>
      </c>
      <c r="B9" s="40" t="s">
        <v>189</v>
      </c>
      <c r="C9" s="41" t="s">
        <v>190</v>
      </c>
      <c r="D9" s="42">
        <v>45078</v>
      </c>
      <c r="E9" s="42">
        <v>45443</v>
      </c>
      <c r="F9" s="42">
        <f>((D9+E9)/2)</f>
        <v>45260.5</v>
      </c>
      <c r="G9" s="112">
        <f>_xlfn.XLOOKUP(F9,'A-6 CMS Market Basket Index '!$AZ$3:$AZ$8,'A-6 CMS Market Basket Index '!$BF$3:$BF$8)</f>
        <v>1.0366</v>
      </c>
      <c r="H9" s="44">
        <v>448</v>
      </c>
      <c r="I9" s="44">
        <v>20</v>
      </c>
      <c r="J9" s="65">
        <v>22.4</v>
      </c>
      <c r="K9" s="76">
        <f t="shared" si="0"/>
        <v>23.219839999999998</v>
      </c>
      <c r="L9" s="51" t="str">
        <f t="shared" si="1"/>
        <v/>
      </c>
      <c r="M9" s="46" t="s">
        <v>191</v>
      </c>
      <c r="N9" s="46">
        <v>84317</v>
      </c>
      <c r="O9" s="69" t="s">
        <v>224</v>
      </c>
      <c r="P9" s="70" t="s">
        <v>213</v>
      </c>
      <c r="R9" s="47"/>
      <c r="S9" s="267"/>
      <c r="T9" s="48"/>
      <c r="U9" s="48"/>
    </row>
    <row r="10" spans="1:21" s="46" customFormat="1" x14ac:dyDescent="0.25">
      <c r="A10" s="39" t="s">
        <v>245</v>
      </c>
      <c r="B10" s="40" t="s">
        <v>111</v>
      </c>
      <c r="C10" s="41" t="s">
        <v>90</v>
      </c>
      <c r="D10" s="42">
        <v>44927</v>
      </c>
      <c r="E10" s="42">
        <v>45291</v>
      </c>
      <c r="F10" s="42">
        <f t="shared" ref="F10:F33" si="2">((D10+E10)/2)-2</f>
        <v>45107</v>
      </c>
      <c r="G10" s="112">
        <f>_xlfn.XLOOKUP(F10,'A-6 CMS Market Basket Index '!$AZ$3:$AZ$8,'A-6 CMS Market Basket Index '!$BF$3:$BF$8)</f>
        <v>1.0538000000000001</v>
      </c>
      <c r="H10" s="49">
        <v>101794</v>
      </c>
      <c r="I10" s="49">
        <v>4584</v>
      </c>
      <c r="J10" s="80">
        <v>22.21</v>
      </c>
      <c r="K10" s="76">
        <f t="shared" si="0"/>
        <v>23.404898000000003</v>
      </c>
      <c r="L10" s="51" t="str">
        <f t="shared" si="1"/>
        <v/>
      </c>
      <c r="M10" s="46" t="s">
        <v>45</v>
      </c>
      <c r="N10" s="46">
        <v>84020</v>
      </c>
      <c r="O10" s="69" t="s">
        <v>218</v>
      </c>
      <c r="P10" s="70" t="s">
        <v>209</v>
      </c>
      <c r="R10" s="47"/>
      <c r="S10" s="267"/>
      <c r="T10" s="48"/>
      <c r="U10" s="48"/>
    </row>
    <row r="11" spans="1:21" s="46" customFormat="1" x14ac:dyDescent="0.25">
      <c r="A11" s="39" t="s">
        <v>245</v>
      </c>
      <c r="B11" s="40" t="s">
        <v>175</v>
      </c>
      <c r="C11" s="41" t="s">
        <v>176</v>
      </c>
      <c r="D11" s="42">
        <v>44927</v>
      </c>
      <c r="E11" s="42">
        <v>45291</v>
      </c>
      <c r="F11" s="42">
        <f t="shared" si="2"/>
        <v>45107</v>
      </c>
      <c r="G11" s="112">
        <f>_xlfn.XLOOKUP(F11,'A-6 CMS Market Basket Index '!$AZ$3:$AZ$8,'A-6 CMS Market Basket Index '!$BF$3:$BF$8)</f>
        <v>1.0538000000000001</v>
      </c>
      <c r="H11" s="44">
        <v>15989</v>
      </c>
      <c r="I11" s="44">
        <v>628</v>
      </c>
      <c r="J11" s="65">
        <v>25.46</v>
      </c>
      <c r="K11" s="76">
        <f t="shared" si="0"/>
        <v>26.829748000000002</v>
      </c>
      <c r="L11" s="51" t="str">
        <f t="shared" si="1"/>
        <v/>
      </c>
      <c r="M11" s="46" t="s">
        <v>177</v>
      </c>
      <c r="N11" s="46">
        <v>84332</v>
      </c>
      <c r="O11" s="69" t="s">
        <v>210</v>
      </c>
      <c r="P11" s="70" t="s">
        <v>209</v>
      </c>
      <c r="R11" s="47"/>
      <c r="S11" s="267"/>
      <c r="T11" s="48"/>
      <c r="U11" s="48"/>
    </row>
    <row r="12" spans="1:21" s="46" customFormat="1" x14ac:dyDescent="0.25">
      <c r="A12" s="39" t="s">
        <v>245</v>
      </c>
      <c r="B12" s="40" t="s">
        <v>167</v>
      </c>
      <c r="C12" s="41" t="s">
        <v>168</v>
      </c>
      <c r="D12" s="42">
        <v>44927</v>
      </c>
      <c r="E12" s="42">
        <v>45291</v>
      </c>
      <c r="F12" s="42">
        <f t="shared" si="2"/>
        <v>45107</v>
      </c>
      <c r="G12" s="112">
        <f>_xlfn.XLOOKUP(F12,'A-6 CMS Market Basket Index '!$AZ$3:$AZ$8,'A-6 CMS Market Basket Index '!$BF$3:$BF$8)</f>
        <v>1.0538000000000001</v>
      </c>
      <c r="H12" s="44">
        <v>8387</v>
      </c>
      <c r="I12" s="44">
        <v>322</v>
      </c>
      <c r="J12" s="65">
        <v>26.05</v>
      </c>
      <c r="K12" s="76">
        <f t="shared" si="0"/>
        <v>27.451490000000003</v>
      </c>
      <c r="L12" s="51" t="str">
        <f t="shared" si="1"/>
        <v/>
      </c>
      <c r="M12" s="46" t="s">
        <v>46</v>
      </c>
      <c r="N12" s="46">
        <v>84660</v>
      </c>
      <c r="O12" s="69" t="s">
        <v>15</v>
      </c>
      <c r="P12" s="70" t="s">
        <v>213</v>
      </c>
      <c r="R12" s="47"/>
      <c r="S12" s="267"/>
      <c r="T12" s="48"/>
      <c r="U12" s="48"/>
    </row>
    <row r="13" spans="1:21" s="46" customFormat="1" x14ac:dyDescent="0.25">
      <c r="A13" s="39" t="s">
        <v>245</v>
      </c>
      <c r="B13" s="40" t="s">
        <v>134</v>
      </c>
      <c r="C13" s="41" t="s">
        <v>135</v>
      </c>
      <c r="D13" s="42">
        <v>44927</v>
      </c>
      <c r="E13" s="42">
        <v>45291</v>
      </c>
      <c r="F13" s="42">
        <f t="shared" si="2"/>
        <v>45107</v>
      </c>
      <c r="G13" s="112">
        <f>_xlfn.XLOOKUP(F13,'A-6 CMS Market Basket Index '!$AZ$3:$AZ$8,'A-6 CMS Market Basket Index '!$BF$3:$BF$8)</f>
        <v>1.0538000000000001</v>
      </c>
      <c r="H13" s="44">
        <v>8572</v>
      </c>
      <c r="I13" s="44">
        <v>314</v>
      </c>
      <c r="J13" s="65">
        <v>27.3</v>
      </c>
      <c r="K13" s="76">
        <f t="shared" si="0"/>
        <v>28.768740000000001</v>
      </c>
      <c r="L13" s="51" t="str">
        <f t="shared" si="1"/>
        <v/>
      </c>
      <c r="M13" s="46" t="s">
        <v>17</v>
      </c>
      <c r="N13" s="46">
        <v>84057</v>
      </c>
      <c r="O13" s="69" t="s">
        <v>15</v>
      </c>
      <c r="P13" s="70" t="s">
        <v>213</v>
      </c>
      <c r="R13" s="47"/>
      <c r="S13" s="267"/>
      <c r="T13" s="48"/>
      <c r="U13" s="48"/>
    </row>
    <row r="14" spans="1:21" s="46" customFormat="1" x14ac:dyDescent="0.25">
      <c r="A14" s="39" t="s">
        <v>245</v>
      </c>
      <c r="B14" s="40" t="s">
        <v>133</v>
      </c>
      <c r="C14" s="41" t="s">
        <v>92</v>
      </c>
      <c r="D14" s="42">
        <v>44927</v>
      </c>
      <c r="E14" s="42">
        <v>45291</v>
      </c>
      <c r="F14" s="42">
        <f t="shared" si="2"/>
        <v>45107</v>
      </c>
      <c r="G14" s="112">
        <f>_xlfn.XLOOKUP(F14,'A-6 CMS Market Basket Index '!$AZ$3:$AZ$8,'A-6 CMS Market Basket Index '!$BF$3:$BF$8)</f>
        <v>1.0538000000000001</v>
      </c>
      <c r="H14" s="44">
        <v>67148</v>
      </c>
      <c r="I14" s="44">
        <v>2415</v>
      </c>
      <c r="J14" s="65">
        <v>27.8</v>
      </c>
      <c r="K14" s="76">
        <f t="shared" si="0"/>
        <v>29.295640000000002</v>
      </c>
      <c r="L14" s="51" t="str">
        <f t="shared" si="1"/>
        <v/>
      </c>
      <c r="M14" s="46" t="s">
        <v>52</v>
      </c>
      <c r="N14" s="46">
        <v>84790</v>
      </c>
      <c r="O14" s="69" t="s">
        <v>223</v>
      </c>
      <c r="P14" s="70" t="s">
        <v>209</v>
      </c>
      <c r="R14" s="47"/>
      <c r="S14" s="267"/>
      <c r="T14" s="48"/>
      <c r="U14" s="48"/>
    </row>
    <row r="15" spans="1:21" s="46" customFormat="1" x14ac:dyDescent="0.25">
      <c r="A15" s="39" t="s">
        <v>245</v>
      </c>
      <c r="B15" s="40" t="s">
        <v>117</v>
      </c>
      <c r="C15" s="41" t="s">
        <v>118</v>
      </c>
      <c r="D15" s="42">
        <v>44927</v>
      </c>
      <c r="E15" s="42">
        <v>45291</v>
      </c>
      <c r="F15" s="42">
        <f t="shared" si="2"/>
        <v>45107</v>
      </c>
      <c r="G15" s="112">
        <f>_xlfn.XLOOKUP(F15,'A-6 CMS Market Basket Index '!$AZ$3:$AZ$8,'A-6 CMS Market Basket Index '!$BF$3:$BF$8)</f>
        <v>1.0538000000000001</v>
      </c>
      <c r="H15" s="44">
        <v>103946</v>
      </c>
      <c r="I15" s="44">
        <v>3568</v>
      </c>
      <c r="J15" s="65">
        <v>29.13</v>
      </c>
      <c r="K15" s="76">
        <f t="shared" si="0"/>
        <v>30.697194</v>
      </c>
      <c r="L15" s="51" t="str">
        <f t="shared" si="1"/>
        <v/>
      </c>
      <c r="M15" s="46" t="s">
        <v>17</v>
      </c>
      <c r="N15" s="46">
        <v>84057</v>
      </c>
      <c r="O15" s="69" t="s">
        <v>15</v>
      </c>
      <c r="P15" s="70" t="s">
        <v>213</v>
      </c>
      <c r="R15" s="47"/>
      <c r="S15" s="267"/>
      <c r="T15" s="48"/>
      <c r="U15" s="48"/>
    </row>
    <row r="16" spans="1:21" s="46" customFormat="1" x14ac:dyDescent="0.25">
      <c r="A16" s="39" t="s">
        <v>245</v>
      </c>
      <c r="B16" s="40" t="s">
        <v>60</v>
      </c>
      <c r="C16" s="41" t="s">
        <v>61</v>
      </c>
      <c r="D16" s="42">
        <v>44927</v>
      </c>
      <c r="E16" s="42">
        <v>45291</v>
      </c>
      <c r="F16" s="42">
        <f t="shared" si="2"/>
        <v>45107</v>
      </c>
      <c r="G16" s="112">
        <f>_xlfn.XLOOKUP(F16,'A-6 CMS Market Basket Index '!$AZ$3:$AZ$8,'A-6 CMS Market Basket Index '!$BF$3:$BF$8)</f>
        <v>1.0538000000000001</v>
      </c>
      <c r="H16" s="44">
        <v>154</v>
      </c>
      <c r="I16" s="44">
        <v>5</v>
      </c>
      <c r="J16" s="65">
        <v>30.8</v>
      </c>
      <c r="K16" s="76">
        <f t="shared" si="0"/>
        <v>32.457040000000006</v>
      </c>
      <c r="L16" s="51" t="str">
        <f t="shared" si="1"/>
        <v/>
      </c>
      <c r="M16" s="46" t="s">
        <v>62</v>
      </c>
      <c r="N16" s="46">
        <v>84790</v>
      </c>
      <c r="O16" s="69" t="s">
        <v>223</v>
      </c>
      <c r="P16" s="70" t="s">
        <v>209</v>
      </c>
      <c r="R16" s="47"/>
      <c r="S16" s="267"/>
      <c r="T16" s="48"/>
      <c r="U16" s="48"/>
    </row>
    <row r="17" spans="1:21" s="46" customFormat="1" x14ac:dyDescent="0.25">
      <c r="A17" s="39" t="s">
        <v>245</v>
      </c>
      <c r="B17" s="40" t="s">
        <v>77</v>
      </c>
      <c r="C17" s="41" t="s">
        <v>75</v>
      </c>
      <c r="D17" s="42">
        <v>44927</v>
      </c>
      <c r="E17" s="42">
        <v>45291</v>
      </c>
      <c r="F17" s="42">
        <f t="shared" si="2"/>
        <v>45107</v>
      </c>
      <c r="G17" s="112">
        <f>_xlfn.XLOOKUP(F17,'A-6 CMS Market Basket Index '!$AZ$3:$AZ$8,'A-6 CMS Market Basket Index '!$BF$3:$BF$8)</f>
        <v>1.0538000000000001</v>
      </c>
      <c r="H17" s="44">
        <v>77266</v>
      </c>
      <c r="I17" s="44">
        <v>2412</v>
      </c>
      <c r="J17" s="65">
        <v>32.03</v>
      </c>
      <c r="K17" s="76">
        <f t="shared" si="0"/>
        <v>33.753214000000007</v>
      </c>
      <c r="L17" s="51" t="str">
        <f t="shared" si="1"/>
        <v/>
      </c>
      <c r="M17" s="46" t="s">
        <v>76</v>
      </c>
      <c r="N17" s="46">
        <v>84123</v>
      </c>
      <c r="O17" s="69" t="s">
        <v>218</v>
      </c>
      <c r="P17" s="70" t="s">
        <v>209</v>
      </c>
      <c r="R17" s="47"/>
      <c r="S17" s="267"/>
      <c r="T17" s="48"/>
      <c r="U17" s="48"/>
    </row>
    <row r="18" spans="1:21" s="46" customFormat="1" x14ac:dyDescent="0.25">
      <c r="A18" s="39" t="s">
        <v>245</v>
      </c>
      <c r="B18" s="40" t="s">
        <v>182</v>
      </c>
      <c r="C18" s="41" t="s">
        <v>183</v>
      </c>
      <c r="D18" s="42">
        <v>44927</v>
      </c>
      <c r="E18" s="42">
        <v>45291</v>
      </c>
      <c r="F18" s="42">
        <f t="shared" si="2"/>
        <v>45107</v>
      </c>
      <c r="G18" s="112">
        <f>_xlfn.XLOOKUP(F18,'A-6 CMS Market Basket Index '!$AZ$3:$AZ$8,'A-6 CMS Market Basket Index '!$BF$3:$BF$8)</f>
        <v>1.0538000000000001</v>
      </c>
      <c r="H18" s="44">
        <v>122190</v>
      </c>
      <c r="I18" s="44">
        <v>3801</v>
      </c>
      <c r="J18" s="65">
        <v>32.15</v>
      </c>
      <c r="K18" s="76">
        <f t="shared" si="0"/>
        <v>33.879669999999997</v>
      </c>
      <c r="L18" s="51" t="str">
        <f t="shared" si="1"/>
        <v/>
      </c>
      <c r="M18" s="46" t="s">
        <v>48</v>
      </c>
      <c r="N18" s="46">
        <v>84107</v>
      </c>
      <c r="O18" s="69" t="s">
        <v>218</v>
      </c>
      <c r="P18" s="70" t="s">
        <v>209</v>
      </c>
      <c r="R18" s="47"/>
      <c r="S18" s="267"/>
      <c r="T18" s="48"/>
      <c r="U18" s="48"/>
    </row>
    <row r="19" spans="1:21" s="46" customFormat="1" x14ac:dyDescent="0.25">
      <c r="A19" s="39" t="s">
        <v>245</v>
      </c>
      <c r="B19" s="40" t="s">
        <v>136</v>
      </c>
      <c r="C19" s="41" t="s">
        <v>137</v>
      </c>
      <c r="D19" s="42">
        <v>44927</v>
      </c>
      <c r="E19" s="42">
        <v>45291</v>
      </c>
      <c r="F19" s="42">
        <f t="shared" si="2"/>
        <v>45107</v>
      </c>
      <c r="G19" s="112">
        <f>_xlfn.XLOOKUP(F19,'A-6 CMS Market Basket Index '!$AZ$3:$AZ$8,'A-6 CMS Market Basket Index '!$BF$3:$BF$8)</f>
        <v>1.0538000000000001</v>
      </c>
      <c r="H19" s="44">
        <v>40143</v>
      </c>
      <c r="I19" s="44">
        <v>1228</v>
      </c>
      <c r="J19" s="65">
        <v>32.69</v>
      </c>
      <c r="K19" s="76">
        <f t="shared" si="0"/>
        <v>34.448721999999997</v>
      </c>
      <c r="L19" s="51" t="str">
        <f t="shared" si="1"/>
        <v/>
      </c>
      <c r="M19" s="46" t="s">
        <v>48</v>
      </c>
      <c r="N19" s="46">
        <v>84106</v>
      </c>
      <c r="O19" s="69" t="s">
        <v>218</v>
      </c>
      <c r="P19" s="70" t="s">
        <v>209</v>
      </c>
      <c r="R19" s="47"/>
      <c r="S19" s="267"/>
      <c r="T19" s="48"/>
      <c r="U19" s="48"/>
    </row>
    <row r="20" spans="1:21" s="46" customFormat="1" x14ac:dyDescent="0.25">
      <c r="A20" s="39" t="s">
        <v>245</v>
      </c>
      <c r="B20" s="40" t="s">
        <v>187</v>
      </c>
      <c r="C20" s="41" t="s">
        <v>188</v>
      </c>
      <c r="D20" s="42">
        <v>44927</v>
      </c>
      <c r="E20" s="42">
        <v>45291</v>
      </c>
      <c r="F20" s="42">
        <f t="shared" si="2"/>
        <v>45107</v>
      </c>
      <c r="G20" s="112">
        <f>_xlfn.XLOOKUP(F20,'A-6 CMS Market Basket Index '!$AZ$3:$AZ$8,'A-6 CMS Market Basket Index '!$BF$3:$BF$8)</f>
        <v>1.0538000000000001</v>
      </c>
      <c r="H20" s="44">
        <v>18196</v>
      </c>
      <c r="I20" s="44">
        <v>524</v>
      </c>
      <c r="J20" s="65">
        <v>34.729999999999997</v>
      </c>
      <c r="K20" s="76">
        <f t="shared" si="0"/>
        <v>36.598473999999996</v>
      </c>
      <c r="L20" s="51" t="str">
        <f t="shared" si="1"/>
        <v/>
      </c>
      <c r="M20" s="46" t="s">
        <v>18</v>
      </c>
      <c r="N20" s="46">
        <v>84105</v>
      </c>
      <c r="O20" s="69" t="s">
        <v>218</v>
      </c>
      <c r="P20" s="70" t="s">
        <v>209</v>
      </c>
      <c r="R20" s="47"/>
      <c r="S20" s="267"/>
      <c r="T20" s="48"/>
      <c r="U20" s="48"/>
    </row>
    <row r="21" spans="1:21" s="46" customFormat="1" x14ac:dyDescent="0.25">
      <c r="A21" s="39" t="s">
        <v>245</v>
      </c>
      <c r="B21" s="40" t="s">
        <v>169</v>
      </c>
      <c r="C21" s="41" t="s">
        <v>170</v>
      </c>
      <c r="D21" s="42">
        <v>44927</v>
      </c>
      <c r="E21" s="42">
        <v>45291</v>
      </c>
      <c r="F21" s="42">
        <f t="shared" si="2"/>
        <v>45107</v>
      </c>
      <c r="G21" s="112">
        <f>_xlfn.XLOOKUP(F21,'A-6 CMS Market Basket Index '!$AZ$3:$AZ$8,'A-6 CMS Market Basket Index '!$BF$3:$BF$8)</f>
        <v>1.0538000000000001</v>
      </c>
      <c r="H21" s="44">
        <v>10733</v>
      </c>
      <c r="I21" s="44">
        <v>308</v>
      </c>
      <c r="J21" s="65">
        <v>34.85</v>
      </c>
      <c r="K21" s="76">
        <f t="shared" si="0"/>
        <v>36.724930000000001</v>
      </c>
      <c r="L21" s="51" t="str">
        <f t="shared" si="1"/>
        <v/>
      </c>
      <c r="M21" s="46" t="s">
        <v>45</v>
      </c>
      <c r="N21" s="46">
        <v>84020</v>
      </c>
      <c r="O21" s="69" t="s">
        <v>218</v>
      </c>
      <c r="P21" s="70" t="s">
        <v>209</v>
      </c>
      <c r="R21" s="47"/>
      <c r="S21" s="267"/>
      <c r="T21" s="48"/>
      <c r="U21" s="48"/>
    </row>
    <row r="22" spans="1:21" s="46" customFormat="1" x14ac:dyDescent="0.25">
      <c r="A22" s="39" t="s">
        <v>245</v>
      </c>
      <c r="B22" s="40" t="s">
        <v>203</v>
      </c>
      <c r="C22" s="41" t="s">
        <v>204</v>
      </c>
      <c r="D22" s="42">
        <v>44927</v>
      </c>
      <c r="E22" s="42">
        <v>45291</v>
      </c>
      <c r="F22" s="42">
        <f t="shared" si="2"/>
        <v>45107</v>
      </c>
      <c r="G22" s="112">
        <f>_xlfn.XLOOKUP(F22,'A-6 CMS Market Basket Index '!$AZ$3:$AZ$8,'A-6 CMS Market Basket Index '!$BF$3:$BF$8)</f>
        <v>1.0538000000000001</v>
      </c>
      <c r="H22" s="44">
        <v>3030</v>
      </c>
      <c r="I22" s="44">
        <v>79</v>
      </c>
      <c r="J22" s="65">
        <v>38.35</v>
      </c>
      <c r="K22" s="76">
        <f t="shared" si="0"/>
        <v>40.413230000000006</v>
      </c>
      <c r="L22" s="51" t="str">
        <f t="shared" si="1"/>
        <v/>
      </c>
      <c r="M22" s="46" t="s">
        <v>17</v>
      </c>
      <c r="N22" s="46">
        <v>84097</v>
      </c>
      <c r="O22" s="69" t="s">
        <v>15</v>
      </c>
      <c r="P22" s="70" t="s">
        <v>213</v>
      </c>
      <c r="R22" s="47"/>
      <c r="S22" s="267"/>
      <c r="T22" s="48"/>
      <c r="U22" s="48"/>
    </row>
    <row r="23" spans="1:21" s="46" customFormat="1" x14ac:dyDescent="0.25">
      <c r="A23" s="39" t="s">
        <v>245</v>
      </c>
      <c r="B23" s="40" t="s">
        <v>185</v>
      </c>
      <c r="C23" s="41" t="s">
        <v>186</v>
      </c>
      <c r="D23" s="42">
        <v>44927</v>
      </c>
      <c r="E23" s="42">
        <v>45291</v>
      </c>
      <c r="F23" s="42">
        <f t="shared" si="2"/>
        <v>45107</v>
      </c>
      <c r="G23" s="112">
        <f>_xlfn.XLOOKUP(F23,'A-6 CMS Market Basket Index '!$AZ$3:$AZ$8,'A-6 CMS Market Basket Index '!$BF$3:$BF$8)</f>
        <v>1.0538000000000001</v>
      </c>
      <c r="H23" s="44">
        <v>205282</v>
      </c>
      <c r="I23" s="44">
        <v>5215</v>
      </c>
      <c r="J23" s="65">
        <v>39.36</v>
      </c>
      <c r="K23" s="76">
        <f t="shared" si="0"/>
        <v>41.477568000000005</v>
      </c>
      <c r="L23" s="51" t="str">
        <f t="shared" si="1"/>
        <v/>
      </c>
      <c r="M23" s="46" t="s">
        <v>39</v>
      </c>
      <c r="N23" s="46">
        <v>84041</v>
      </c>
      <c r="O23" s="69" t="s">
        <v>212</v>
      </c>
      <c r="P23" s="70" t="s">
        <v>213</v>
      </c>
      <c r="R23" s="47"/>
      <c r="S23" s="267"/>
      <c r="T23" s="48"/>
      <c r="U23" s="48"/>
    </row>
    <row r="24" spans="1:21" s="46" customFormat="1" x14ac:dyDescent="0.25">
      <c r="A24" s="39" t="s">
        <v>245</v>
      </c>
      <c r="B24" s="40" t="s">
        <v>151</v>
      </c>
      <c r="C24" s="41" t="s">
        <v>150</v>
      </c>
      <c r="D24" s="42">
        <v>44927</v>
      </c>
      <c r="E24" s="42">
        <v>45291</v>
      </c>
      <c r="F24" s="42">
        <f t="shared" si="2"/>
        <v>45107</v>
      </c>
      <c r="G24" s="112">
        <f>_xlfn.XLOOKUP(F24,'A-6 CMS Market Basket Index '!$AZ$3:$AZ$8,'A-6 CMS Market Basket Index '!$BF$3:$BF$8)</f>
        <v>1.0538000000000001</v>
      </c>
      <c r="H24" s="44">
        <v>494134</v>
      </c>
      <c r="I24" s="44">
        <v>12466</v>
      </c>
      <c r="J24" s="65">
        <v>39.64</v>
      </c>
      <c r="K24" s="76">
        <f t="shared" si="0"/>
        <v>41.772632000000002</v>
      </c>
      <c r="L24" s="51" t="str">
        <f t="shared" si="1"/>
        <v/>
      </c>
      <c r="M24" s="46" t="s">
        <v>97</v>
      </c>
      <c r="N24" s="46">
        <v>84015</v>
      </c>
      <c r="O24" s="69" t="s">
        <v>212</v>
      </c>
      <c r="P24" s="70" t="s">
        <v>213</v>
      </c>
      <c r="R24" s="47"/>
      <c r="S24" s="267"/>
      <c r="T24" s="48"/>
      <c r="U24" s="48"/>
    </row>
    <row r="25" spans="1:21" s="46" customFormat="1" x14ac:dyDescent="0.25">
      <c r="A25" s="39" t="s">
        <v>245</v>
      </c>
      <c r="B25" s="40" t="s">
        <v>81</v>
      </c>
      <c r="C25" s="41" t="s">
        <v>82</v>
      </c>
      <c r="D25" s="42">
        <v>44927</v>
      </c>
      <c r="E25" s="42">
        <v>45291</v>
      </c>
      <c r="F25" s="42">
        <f t="shared" si="2"/>
        <v>45107</v>
      </c>
      <c r="G25" s="112">
        <f>_xlfn.XLOOKUP(F25,'A-6 CMS Market Basket Index '!$AZ$3:$AZ$8,'A-6 CMS Market Basket Index '!$BF$3:$BF$8)</f>
        <v>1.0538000000000001</v>
      </c>
      <c r="H25" s="44">
        <v>255848</v>
      </c>
      <c r="I25" s="44">
        <v>6452</v>
      </c>
      <c r="J25" s="65">
        <v>39.65</v>
      </c>
      <c r="K25" s="76">
        <f t="shared" si="0"/>
        <v>41.783169999999998</v>
      </c>
      <c r="L25" s="51" t="str">
        <f t="shared" si="1"/>
        <v/>
      </c>
      <c r="M25" s="46" t="s">
        <v>83</v>
      </c>
      <c r="N25" s="46">
        <v>84041</v>
      </c>
      <c r="O25" s="69" t="s">
        <v>212</v>
      </c>
      <c r="P25" s="70" t="s">
        <v>213</v>
      </c>
      <c r="R25" s="47"/>
      <c r="S25" s="267"/>
      <c r="T25" s="48"/>
      <c r="U25" s="48"/>
    </row>
    <row r="26" spans="1:21" s="46" customFormat="1" x14ac:dyDescent="0.25">
      <c r="A26" s="39" t="s">
        <v>245</v>
      </c>
      <c r="B26" s="40" t="s">
        <v>85</v>
      </c>
      <c r="C26" s="41" t="s">
        <v>84</v>
      </c>
      <c r="D26" s="42">
        <v>44927</v>
      </c>
      <c r="E26" s="42">
        <v>45291</v>
      </c>
      <c r="F26" s="42">
        <f t="shared" si="2"/>
        <v>45107</v>
      </c>
      <c r="G26" s="112">
        <f>_xlfn.XLOOKUP(F26,'A-6 CMS Market Basket Index '!$AZ$3:$AZ$8,'A-6 CMS Market Basket Index '!$BF$3:$BF$8)</f>
        <v>1.0538000000000001</v>
      </c>
      <c r="H26" s="44">
        <v>44664</v>
      </c>
      <c r="I26" s="44">
        <v>1114</v>
      </c>
      <c r="J26" s="65">
        <v>40.090000000000003</v>
      </c>
      <c r="K26" s="76">
        <f t="shared" si="0"/>
        <v>42.246842000000008</v>
      </c>
      <c r="L26" s="51"/>
      <c r="M26" s="46" t="s">
        <v>45</v>
      </c>
      <c r="N26" s="46">
        <v>84020</v>
      </c>
      <c r="O26" s="69" t="s">
        <v>218</v>
      </c>
      <c r="P26" s="70" t="s">
        <v>209</v>
      </c>
      <c r="R26" s="47"/>
      <c r="S26" s="267"/>
      <c r="T26" s="48"/>
      <c r="U26" s="48"/>
    </row>
    <row r="27" spans="1:21" s="46" customFormat="1" x14ac:dyDescent="0.25">
      <c r="A27" s="39" t="s">
        <v>245</v>
      </c>
      <c r="B27" s="40" t="s">
        <v>125</v>
      </c>
      <c r="C27" s="41" t="s">
        <v>126</v>
      </c>
      <c r="D27" s="42">
        <v>44927</v>
      </c>
      <c r="E27" s="42">
        <v>45291</v>
      </c>
      <c r="F27" s="42">
        <f t="shared" si="2"/>
        <v>45107</v>
      </c>
      <c r="G27" s="112">
        <f>_xlfn.XLOOKUP(F27,'A-6 CMS Market Basket Index '!$AZ$3:$AZ$8,'A-6 CMS Market Basket Index '!$BF$3:$BF$8)</f>
        <v>1.0538000000000001</v>
      </c>
      <c r="H27" s="44">
        <v>924871</v>
      </c>
      <c r="I27" s="44">
        <v>21481</v>
      </c>
      <c r="J27" s="65">
        <v>43.06</v>
      </c>
      <c r="K27" s="76">
        <f t="shared" si="0"/>
        <v>45.376628000000004</v>
      </c>
      <c r="L27" s="51"/>
      <c r="M27" s="46" t="s">
        <v>48</v>
      </c>
      <c r="N27" s="46">
        <v>84123</v>
      </c>
      <c r="O27" s="69" t="s">
        <v>218</v>
      </c>
      <c r="P27" s="70" t="s">
        <v>209</v>
      </c>
      <c r="R27" s="47"/>
      <c r="S27" s="267"/>
      <c r="T27" s="48"/>
      <c r="U27" s="48"/>
    </row>
    <row r="28" spans="1:21" s="46" customFormat="1" x14ac:dyDescent="0.25">
      <c r="A28" s="39" t="s">
        <v>245</v>
      </c>
      <c r="B28" s="40" t="s">
        <v>140</v>
      </c>
      <c r="C28" s="41" t="s">
        <v>141</v>
      </c>
      <c r="D28" s="42">
        <v>44927</v>
      </c>
      <c r="E28" s="42">
        <v>45291</v>
      </c>
      <c r="F28" s="42">
        <f t="shared" si="2"/>
        <v>45107</v>
      </c>
      <c r="G28" s="112">
        <f>_xlfn.XLOOKUP(F28,'A-6 CMS Market Basket Index '!$AZ$3:$AZ$8,'A-6 CMS Market Basket Index '!$BF$3:$BF$8)</f>
        <v>1.0538000000000001</v>
      </c>
      <c r="H28" s="44">
        <v>785485</v>
      </c>
      <c r="I28" s="44">
        <v>16698</v>
      </c>
      <c r="J28" s="65">
        <v>47.04</v>
      </c>
      <c r="K28" s="76">
        <f t="shared" si="0"/>
        <v>49.570752000000006</v>
      </c>
      <c r="L28" s="51"/>
      <c r="M28" s="46" t="s">
        <v>142</v>
      </c>
      <c r="N28" s="46">
        <v>84663</v>
      </c>
      <c r="O28" s="69" t="s">
        <v>15</v>
      </c>
      <c r="P28" s="70" t="s">
        <v>213</v>
      </c>
      <c r="R28" s="47"/>
      <c r="S28" s="267"/>
      <c r="T28" s="48"/>
      <c r="U28" s="48"/>
    </row>
    <row r="29" spans="1:21" s="46" customFormat="1" x14ac:dyDescent="0.25">
      <c r="A29" s="39" t="s">
        <v>245</v>
      </c>
      <c r="B29" s="40" t="s">
        <v>65</v>
      </c>
      <c r="C29" s="41" t="s">
        <v>66</v>
      </c>
      <c r="D29" s="42">
        <v>44927</v>
      </c>
      <c r="E29" s="42">
        <v>45291</v>
      </c>
      <c r="F29" s="42">
        <f t="shared" si="2"/>
        <v>45107</v>
      </c>
      <c r="G29" s="112">
        <f>_xlfn.XLOOKUP(F29,'A-6 CMS Market Basket Index '!$AZ$3:$AZ$8,'A-6 CMS Market Basket Index '!$BF$3:$BF$8)</f>
        <v>1.0538000000000001</v>
      </c>
      <c r="H29" s="44">
        <v>68024</v>
      </c>
      <c r="I29" s="44">
        <v>1382</v>
      </c>
      <c r="J29" s="65">
        <v>49.22</v>
      </c>
      <c r="K29" s="76">
        <f t="shared" si="0"/>
        <v>51.868036000000004</v>
      </c>
      <c r="L29" s="51"/>
      <c r="M29" s="46" t="s">
        <v>39</v>
      </c>
      <c r="N29" s="46">
        <v>84041</v>
      </c>
      <c r="O29" s="69" t="s">
        <v>212</v>
      </c>
      <c r="P29" s="70" t="s">
        <v>213</v>
      </c>
      <c r="R29" s="47"/>
      <c r="S29" s="267"/>
      <c r="T29" s="48"/>
      <c r="U29" s="48"/>
    </row>
    <row r="30" spans="1:21" s="46" customFormat="1" x14ac:dyDescent="0.25">
      <c r="A30" s="39" t="s">
        <v>245</v>
      </c>
      <c r="B30" s="40" t="s">
        <v>147</v>
      </c>
      <c r="C30" s="41" t="s">
        <v>148</v>
      </c>
      <c r="D30" s="42">
        <v>44927</v>
      </c>
      <c r="E30" s="42">
        <v>45291</v>
      </c>
      <c r="F30" s="42">
        <f t="shared" si="2"/>
        <v>45107</v>
      </c>
      <c r="G30" s="112">
        <f>_xlfn.XLOOKUP(F30,'A-6 CMS Market Basket Index '!$AZ$3:$AZ$8,'A-6 CMS Market Basket Index '!$BF$3:$BF$8)</f>
        <v>1.0538000000000001</v>
      </c>
      <c r="H30" s="44">
        <v>15794</v>
      </c>
      <c r="I30" s="44">
        <v>306</v>
      </c>
      <c r="J30" s="65">
        <v>51.61</v>
      </c>
      <c r="K30" s="76">
        <f t="shared" si="0"/>
        <v>54.386618000000006</v>
      </c>
      <c r="L30" s="51"/>
      <c r="M30" s="46" t="s">
        <v>149</v>
      </c>
      <c r="N30" s="46">
        <v>84414</v>
      </c>
      <c r="O30" s="69" t="s">
        <v>224</v>
      </c>
      <c r="P30" s="70" t="s">
        <v>213</v>
      </c>
      <c r="R30" s="47"/>
      <c r="S30" s="267"/>
      <c r="T30" s="48"/>
      <c r="U30" s="48"/>
    </row>
    <row r="31" spans="1:21" s="46" customFormat="1" x14ac:dyDescent="0.25">
      <c r="A31" s="39" t="s">
        <v>245</v>
      </c>
      <c r="B31" s="40" t="s">
        <v>132</v>
      </c>
      <c r="C31" s="41" t="s">
        <v>91</v>
      </c>
      <c r="D31" s="42">
        <v>44927</v>
      </c>
      <c r="E31" s="42">
        <v>45291</v>
      </c>
      <c r="F31" s="42">
        <f t="shared" si="2"/>
        <v>45107</v>
      </c>
      <c r="G31" s="112">
        <f>_xlfn.XLOOKUP(F31,'A-6 CMS Market Basket Index '!$AZ$3:$AZ$8,'A-6 CMS Market Basket Index '!$BF$3:$BF$8)</f>
        <v>1.0538000000000001</v>
      </c>
      <c r="H31" s="44">
        <v>3144773</v>
      </c>
      <c r="I31" s="44">
        <v>60542</v>
      </c>
      <c r="J31" s="65">
        <v>51.94</v>
      </c>
      <c r="K31" s="76">
        <f t="shared" si="0"/>
        <v>54.734372</v>
      </c>
      <c r="L31" s="51"/>
      <c r="M31" s="46" t="s">
        <v>48</v>
      </c>
      <c r="N31" s="46">
        <v>84107</v>
      </c>
      <c r="O31" s="69" t="s">
        <v>218</v>
      </c>
      <c r="P31" s="70" t="s">
        <v>209</v>
      </c>
      <c r="R31" s="47"/>
      <c r="S31" s="267"/>
      <c r="T31" s="48"/>
      <c r="U31" s="48"/>
    </row>
    <row r="32" spans="1:21" s="46" customFormat="1" x14ac:dyDescent="0.25">
      <c r="A32" s="39" t="s">
        <v>245</v>
      </c>
      <c r="B32" s="40" t="s">
        <v>179</v>
      </c>
      <c r="C32" s="41" t="s">
        <v>178</v>
      </c>
      <c r="D32" s="42">
        <v>44927</v>
      </c>
      <c r="E32" s="42">
        <v>45291</v>
      </c>
      <c r="F32" s="42">
        <f t="shared" si="2"/>
        <v>45107</v>
      </c>
      <c r="G32" s="112">
        <f>_xlfn.XLOOKUP(F32,'A-6 CMS Market Basket Index '!$AZ$3:$AZ$8,'A-6 CMS Market Basket Index '!$BF$3:$BF$8)</f>
        <v>1.0538000000000001</v>
      </c>
      <c r="H32" s="44">
        <v>54288</v>
      </c>
      <c r="I32" s="44">
        <v>1029</v>
      </c>
      <c r="J32" s="65">
        <v>52.76</v>
      </c>
      <c r="K32" s="76">
        <f t="shared" si="0"/>
        <v>55.598488000000003</v>
      </c>
      <c r="L32" s="51"/>
      <c r="M32" s="46" t="s">
        <v>18</v>
      </c>
      <c r="N32" s="46">
        <v>84107</v>
      </c>
      <c r="O32" s="69" t="s">
        <v>218</v>
      </c>
      <c r="P32" s="70" t="s">
        <v>209</v>
      </c>
      <c r="R32" s="47"/>
      <c r="S32" s="267"/>
      <c r="T32" s="48"/>
      <c r="U32" s="48"/>
    </row>
    <row r="33" spans="1:21" s="46" customFormat="1" x14ac:dyDescent="0.25">
      <c r="A33" s="39" t="s">
        <v>245</v>
      </c>
      <c r="B33" s="40" t="s">
        <v>154</v>
      </c>
      <c r="C33" s="41" t="s">
        <v>155</v>
      </c>
      <c r="D33" s="42">
        <v>44927</v>
      </c>
      <c r="E33" s="42">
        <v>45291</v>
      </c>
      <c r="F33" s="42">
        <f t="shared" si="2"/>
        <v>45107</v>
      </c>
      <c r="G33" s="112">
        <f>_xlfn.XLOOKUP(F33,'A-6 CMS Market Basket Index '!$AZ$3:$AZ$8,'A-6 CMS Market Basket Index '!$BF$3:$BF$8)</f>
        <v>1.0538000000000001</v>
      </c>
      <c r="H33" s="44">
        <v>52187</v>
      </c>
      <c r="I33" s="44">
        <v>967</v>
      </c>
      <c r="J33" s="65">
        <v>53.97</v>
      </c>
      <c r="K33" s="76">
        <f t="shared" si="0"/>
        <v>56.873586000000003</v>
      </c>
      <c r="L33" s="51"/>
      <c r="M33" s="46" t="s">
        <v>47</v>
      </c>
      <c r="N33" s="46">
        <v>84341</v>
      </c>
      <c r="O33" s="69" t="s">
        <v>210</v>
      </c>
      <c r="P33" s="70" t="s">
        <v>209</v>
      </c>
      <c r="R33" s="47"/>
      <c r="S33" s="267"/>
      <c r="T33" s="48"/>
      <c r="U33" s="48"/>
    </row>
    <row r="34" spans="1:21" s="46" customFormat="1" x14ac:dyDescent="0.25">
      <c r="A34" s="50" t="s">
        <v>246</v>
      </c>
      <c r="B34" s="86" t="s">
        <v>31</v>
      </c>
      <c r="C34" s="87">
        <v>467034</v>
      </c>
      <c r="D34" s="88">
        <v>45108</v>
      </c>
      <c r="E34" s="88">
        <v>45473</v>
      </c>
      <c r="F34" s="42">
        <f>((D34+E34)/2)+1</f>
        <v>45291.5</v>
      </c>
      <c r="G34" s="112">
        <f>_xlfn.XLOOKUP(F34,'A-6 CMS Market Basket Index '!$AZ$3:$AZ$8,'A-6 CMS Market Basket Index '!$BF$3:$BF$8)</f>
        <v>1.0366</v>
      </c>
      <c r="H34" s="49">
        <v>213293</v>
      </c>
      <c r="I34" s="49">
        <v>3701</v>
      </c>
      <c r="J34" s="80">
        <v>57.63</v>
      </c>
      <c r="K34" s="76">
        <f t="shared" si="0"/>
        <v>59.739258</v>
      </c>
      <c r="L34" s="51"/>
      <c r="M34" s="90" t="s">
        <v>30</v>
      </c>
      <c r="N34" s="90">
        <v>84648</v>
      </c>
      <c r="O34" s="91" t="s">
        <v>217</v>
      </c>
      <c r="P34" s="92" t="s">
        <v>209</v>
      </c>
      <c r="Q34" s="52" t="s">
        <v>28</v>
      </c>
      <c r="R34" s="53" t="s">
        <v>29</v>
      </c>
      <c r="S34" s="267"/>
      <c r="T34" s="48"/>
      <c r="U34" s="48"/>
    </row>
    <row r="35" spans="1:21" s="46" customFormat="1" x14ac:dyDescent="0.25">
      <c r="A35" s="39" t="s">
        <v>245</v>
      </c>
      <c r="B35" s="40" t="s">
        <v>71</v>
      </c>
      <c r="C35" s="41" t="s">
        <v>72</v>
      </c>
      <c r="D35" s="42">
        <v>44927</v>
      </c>
      <c r="E35" s="42">
        <v>45291</v>
      </c>
      <c r="F35" s="42">
        <f t="shared" ref="F35:F53" si="3">((D35+E35)/2)-2</f>
        <v>45107</v>
      </c>
      <c r="G35" s="112">
        <f>_xlfn.XLOOKUP(F35,'A-6 CMS Market Basket Index '!$AZ$3:$AZ$8,'A-6 CMS Market Basket Index '!$BF$3:$BF$8)</f>
        <v>1.0538000000000001</v>
      </c>
      <c r="H35" s="44">
        <v>466151</v>
      </c>
      <c r="I35" s="44">
        <v>8100</v>
      </c>
      <c r="J35" s="65">
        <v>57.55</v>
      </c>
      <c r="K35" s="76">
        <f t="shared" si="0"/>
        <v>60.646190000000004</v>
      </c>
      <c r="L35" s="51"/>
      <c r="M35" s="46" t="s">
        <v>17</v>
      </c>
      <c r="N35" s="46">
        <v>84057</v>
      </c>
      <c r="O35" s="69" t="s">
        <v>15</v>
      </c>
      <c r="P35" s="70" t="s">
        <v>213</v>
      </c>
      <c r="R35" s="47"/>
      <c r="S35" s="267"/>
      <c r="T35" s="48"/>
      <c r="U35" s="48"/>
    </row>
    <row r="36" spans="1:21" s="46" customFormat="1" x14ac:dyDescent="0.25">
      <c r="A36" s="39" t="s">
        <v>245</v>
      </c>
      <c r="B36" s="40" t="s">
        <v>67</v>
      </c>
      <c r="C36" s="41" t="s">
        <v>68</v>
      </c>
      <c r="D36" s="42">
        <v>44927</v>
      </c>
      <c r="E36" s="42">
        <v>45291</v>
      </c>
      <c r="F36" s="42">
        <f t="shared" si="3"/>
        <v>45107</v>
      </c>
      <c r="G36" s="112">
        <f>_xlfn.XLOOKUP(F36,'A-6 CMS Market Basket Index '!$AZ$3:$AZ$8,'A-6 CMS Market Basket Index '!$BF$3:$BF$8)</f>
        <v>1.0538000000000001</v>
      </c>
      <c r="H36" s="44">
        <v>26445</v>
      </c>
      <c r="I36" s="44">
        <v>452</v>
      </c>
      <c r="J36" s="65">
        <v>58.51</v>
      </c>
      <c r="K36" s="76">
        <f t="shared" si="0"/>
        <v>61.657838000000005</v>
      </c>
      <c r="L36" s="51"/>
      <c r="M36" s="46" t="s">
        <v>52</v>
      </c>
      <c r="N36" s="46">
        <v>84790</v>
      </c>
      <c r="O36" s="69" t="s">
        <v>223</v>
      </c>
      <c r="P36" s="70" t="s">
        <v>209</v>
      </c>
      <c r="R36" s="47"/>
      <c r="S36" s="267"/>
      <c r="T36" s="48"/>
      <c r="U36" s="48"/>
    </row>
    <row r="37" spans="1:21" s="46" customFormat="1" x14ac:dyDescent="0.25">
      <c r="A37" s="39" t="s">
        <v>245</v>
      </c>
      <c r="B37" s="40" t="s">
        <v>102</v>
      </c>
      <c r="C37" s="41" t="s">
        <v>103</v>
      </c>
      <c r="D37" s="42">
        <v>44927</v>
      </c>
      <c r="E37" s="42">
        <v>45291</v>
      </c>
      <c r="F37" s="42">
        <f t="shared" si="3"/>
        <v>45107</v>
      </c>
      <c r="G37" s="112">
        <f>_xlfn.XLOOKUP(F37,'A-6 CMS Market Basket Index '!$AZ$3:$AZ$8,'A-6 CMS Market Basket Index '!$BF$3:$BF$8)</f>
        <v>1.0538000000000001</v>
      </c>
      <c r="H37" s="44">
        <v>717291</v>
      </c>
      <c r="I37" s="44">
        <v>12205</v>
      </c>
      <c r="J37" s="65">
        <v>58.77</v>
      </c>
      <c r="K37" s="76">
        <f t="shared" si="0"/>
        <v>61.931826000000008</v>
      </c>
      <c r="L37" s="51"/>
      <c r="M37" s="46" t="s">
        <v>104</v>
      </c>
      <c r="N37" s="46">
        <v>84119</v>
      </c>
      <c r="O37" s="69" t="s">
        <v>218</v>
      </c>
      <c r="P37" s="70" t="s">
        <v>209</v>
      </c>
      <c r="R37" s="47"/>
      <c r="S37" s="267"/>
      <c r="T37" s="48"/>
      <c r="U37" s="48"/>
    </row>
    <row r="38" spans="1:21" s="46" customFormat="1" x14ac:dyDescent="0.25">
      <c r="A38" s="39" t="s">
        <v>245</v>
      </c>
      <c r="B38" s="40" t="s">
        <v>121</v>
      </c>
      <c r="C38" s="41" t="s">
        <v>122</v>
      </c>
      <c r="D38" s="42">
        <v>44927</v>
      </c>
      <c r="E38" s="42">
        <v>45291</v>
      </c>
      <c r="F38" s="42">
        <f t="shared" si="3"/>
        <v>45107</v>
      </c>
      <c r="G38" s="112">
        <f>_xlfn.XLOOKUP(F38,'A-6 CMS Market Basket Index '!$AZ$3:$AZ$8,'A-6 CMS Market Basket Index '!$BF$3:$BF$8)</f>
        <v>1.0538000000000001</v>
      </c>
      <c r="H38" s="44">
        <v>338809</v>
      </c>
      <c r="I38" s="44">
        <v>5640</v>
      </c>
      <c r="J38" s="65">
        <v>60.07</v>
      </c>
      <c r="K38" s="76">
        <f t="shared" ref="K38:K69" si="4">IF(J38="","",J38*$G38)</f>
        <v>63.301766000000008</v>
      </c>
      <c r="L38" s="51"/>
      <c r="M38" s="46" t="s">
        <v>17</v>
      </c>
      <c r="N38" s="46">
        <v>84057</v>
      </c>
      <c r="O38" s="69" t="s">
        <v>15</v>
      </c>
      <c r="P38" s="70" t="s">
        <v>213</v>
      </c>
      <c r="R38" s="47"/>
      <c r="S38" s="267"/>
      <c r="T38" s="48"/>
      <c r="U38" s="48"/>
    </row>
    <row r="39" spans="1:21" s="46" customFormat="1" x14ac:dyDescent="0.25">
      <c r="A39" s="39" t="s">
        <v>245</v>
      </c>
      <c r="B39" s="40" t="s">
        <v>200</v>
      </c>
      <c r="C39" s="41" t="s">
        <v>198</v>
      </c>
      <c r="D39" s="42">
        <v>44927</v>
      </c>
      <c r="E39" s="42">
        <v>45291</v>
      </c>
      <c r="F39" s="42">
        <f t="shared" si="3"/>
        <v>45107</v>
      </c>
      <c r="G39" s="112">
        <f>_xlfn.XLOOKUP(F39,'A-6 CMS Market Basket Index '!$AZ$3:$AZ$8,'A-6 CMS Market Basket Index '!$BF$3:$BF$8)</f>
        <v>1.0538000000000001</v>
      </c>
      <c r="H39" s="49">
        <v>13035</v>
      </c>
      <c r="I39" s="49">
        <v>216</v>
      </c>
      <c r="J39" s="80">
        <v>60.35</v>
      </c>
      <c r="K39" s="76">
        <f t="shared" si="4"/>
        <v>63.596830000000004</v>
      </c>
      <c r="L39" s="51"/>
      <c r="M39" s="46" t="s">
        <v>199</v>
      </c>
      <c r="N39" s="46">
        <v>84780</v>
      </c>
      <c r="O39" s="69" t="s">
        <v>223</v>
      </c>
      <c r="P39" s="70" t="s">
        <v>209</v>
      </c>
      <c r="R39" s="47"/>
      <c r="S39" s="267"/>
      <c r="T39" s="48"/>
      <c r="U39" s="48"/>
    </row>
    <row r="40" spans="1:21" s="46" customFormat="1" x14ac:dyDescent="0.25">
      <c r="A40" s="39" t="s">
        <v>245</v>
      </c>
      <c r="B40" s="40" t="s">
        <v>74</v>
      </c>
      <c r="C40" s="41" t="s">
        <v>73</v>
      </c>
      <c r="D40" s="42">
        <v>44927</v>
      </c>
      <c r="E40" s="42">
        <v>45291</v>
      </c>
      <c r="F40" s="42">
        <f t="shared" si="3"/>
        <v>45107</v>
      </c>
      <c r="G40" s="112">
        <f>_xlfn.XLOOKUP(F40,'A-6 CMS Market Basket Index '!$AZ$3:$AZ$8,'A-6 CMS Market Basket Index '!$BF$3:$BF$8)</f>
        <v>1.0538000000000001</v>
      </c>
      <c r="H40" s="44">
        <v>934963</v>
      </c>
      <c r="I40" s="44">
        <v>14652</v>
      </c>
      <c r="J40" s="65">
        <v>63.81</v>
      </c>
      <c r="K40" s="76">
        <f t="shared" si="4"/>
        <v>67.242978000000008</v>
      </c>
      <c r="L40" s="51"/>
      <c r="M40" s="46" t="s">
        <v>40</v>
      </c>
      <c r="N40" s="46">
        <v>84405</v>
      </c>
      <c r="O40" s="69" t="s">
        <v>224</v>
      </c>
      <c r="P40" s="70" t="s">
        <v>213</v>
      </c>
      <c r="R40" s="47"/>
      <c r="S40" s="267"/>
      <c r="T40" s="48"/>
      <c r="U40" s="48"/>
    </row>
    <row r="41" spans="1:21" s="46" customFormat="1" x14ac:dyDescent="0.25">
      <c r="A41" s="39" t="s">
        <v>245</v>
      </c>
      <c r="B41" s="40" t="s">
        <v>162</v>
      </c>
      <c r="C41" s="41" t="s">
        <v>163</v>
      </c>
      <c r="D41" s="42">
        <v>44927</v>
      </c>
      <c r="E41" s="42">
        <v>45291</v>
      </c>
      <c r="F41" s="42">
        <f t="shared" si="3"/>
        <v>45107</v>
      </c>
      <c r="G41" s="112">
        <f>_xlfn.XLOOKUP(F41,'A-6 CMS Market Basket Index '!$AZ$3:$AZ$8,'A-6 CMS Market Basket Index '!$BF$3:$BF$8)</f>
        <v>1.0538000000000001</v>
      </c>
      <c r="H41" s="44">
        <v>103958</v>
      </c>
      <c r="I41" s="44">
        <v>1598</v>
      </c>
      <c r="J41" s="65">
        <v>65.06</v>
      </c>
      <c r="K41" s="76">
        <f t="shared" si="4"/>
        <v>68.560228000000009</v>
      </c>
      <c r="L41" s="51"/>
      <c r="M41" s="46" t="s">
        <v>51</v>
      </c>
      <c r="N41" s="46">
        <v>84720</v>
      </c>
      <c r="O41" s="69" t="s">
        <v>216</v>
      </c>
      <c r="P41" s="70" t="s">
        <v>209</v>
      </c>
      <c r="R41" s="47"/>
      <c r="S41" s="267"/>
      <c r="T41" s="48"/>
      <c r="U41" s="48"/>
    </row>
    <row r="42" spans="1:21" s="46" customFormat="1" x14ac:dyDescent="0.25">
      <c r="A42" s="39" t="s">
        <v>245</v>
      </c>
      <c r="B42" s="40" t="s">
        <v>156</v>
      </c>
      <c r="C42" s="41" t="s">
        <v>157</v>
      </c>
      <c r="D42" s="42">
        <v>44927</v>
      </c>
      <c r="E42" s="42">
        <v>45291</v>
      </c>
      <c r="F42" s="42">
        <f t="shared" si="3"/>
        <v>45107</v>
      </c>
      <c r="G42" s="112">
        <f>_xlfn.XLOOKUP(F42,'A-6 CMS Market Basket Index '!$AZ$3:$AZ$8,'A-6 CMS Market Basket Index '!$BF$3:$BF$8)</f>
        <v>1.0538000000000001</v>
      </c>
      <c r="H42" s="44">
        <v>263843</v>
      </c>
      <c r="I42" s="44">
        <v>3970</v>
      </c>
      <c r="J42" s="65">
        <v>66.459999999999994</v>
      </c>
      <c r="K42" s="76">
        <f t="shared" si="4"/>
        <v>70.035547999999991</v>
      </c>
      <c r="L42" s="51"/>
      <c r="M42" s="46" t="s">
        <v>40</v>
      </c>
      <c r="N42" s="46">
        <v>84405</v>
      </c>
      <c r="O42" s="69" t="s">
        <v>224</v>
      </c>
      <c r="P42" s="70" t="s">
        <v>213</v>
      </c>
      <c r="R42" s="47"/>
      <c r="S42" s="267"/>
      <c r="T42" s="48"/>
      <c r="U42" s="48"/>
    </row>
    <row r="43" spans="1:21" s="46" customFormat="1" x14ac:dyDescent="0.25">
      <c r="A43" s="39" t="s">
        <v>245</v>
      </c>
      <c r="B43" s="40" t="s">
        <v>165</v>
      </c>
      <c r="C43" s="41" t="s">
        <v>166</v>
      </c>
      <c r="D43" s="42">
        <v>44927</v>
      </c>
      <c r="E43" s="42">
        <v>45291</v>
      </c>
      <c r="F43" s="42">
        <f t="shared" si="3"/>
        <v>45107</v>
      </c>
      <c r="G43" s="112">
        <f>_xlfn.XLOOKUP(F43,'A-6 CMS Market Basket Index '!$AZ$3:$AZ$8,'A-6 CMS Market Basket Index '!$BF$3:$BF$8)</f>
        <v>1.0538000000000001</v>
      </c>
      <c r="H43" s="44">
        <v>16599</v>
      </c>
      <c r="I43" s="44">
        <v>242</v>
      </c>
      <c r="J43" s="65">
        <v>68.59</v>
      </c>
      <c r="K43" s="76">
        <f t="shared" si="4"/>
        <v>72.280142000000012</v>
      </c>
      <c r="L43" s="51"/>
      <c r="M43" s="46" t="s">
        <v>42</v>
      </c>
      <c r="N43" s="46">
        <v>84093</v>
      </c>
      <c r="O43" s="69" t="s">
        <v>218</v>
      </c>
      <c r="P43" s="70" t="s">
        <v>209</v>
      </c>
      <c r="R43" s="47"/>
      <c r="S43" s="267"/>
      <c r="T43" s="48"/>
      <c r="U43" s="48"/>
    </row>
    <row r="44" spans="1:21" s="46" customFormat="1" x14ac:dyDescent="0.25">
      <c r="A44" s="39" t="s">
        <v>245</v>
      </c>
      <c r="B44" s="40" t="s">
        <v>160</v>
      </c>
      <c r="C44" s="41" t="s">
        <v>161</v>
      </c>
      <c r="D44" s="42">
        <v>44927</v>
      </c>
      <c r="E44" s="42">
        <v>45291</v>
      </c>
      <c r="F44" s="42">
        <f t="shared" si="3"/>
        <v>45107</v>
      </c>
      <c r="G44" s="112">
        <f>_xlfn.XLOOKUP(F44,'A-6 CMS Market Basket Index '!$AZ$3:$AZ$8,'A-6 CMS Market Basket Index '!$BF$3:$BF$8)</f>
        <v>1.0538000000000001</v>
      </c>
      <c r="H44" s="44">
        <v>229992</v>
      </c>
      <c r="I44" s="44">
        <v>3327</v>
      </c>
      <c r="J44" s="65">
        <v>69.13</v>
      </c>
      <c r="K44" s="76">
        <f t="shared" si="4"/>
        <v>72.849193999999997</v>
      </c>
      <c r="L44" s="51"/>
      <c r="M44" s="46" t="s">
        <v>62</v>
      </c>
      <c r="N44" s="46">
        <v>84770</v>
      </c>
      <c r="O44" s="69" t="s">
        <v>223</v>
      </c>
      <c r="P44" s="70" t="s">
        <v>209</v>
      </c>
      <c r="R44" s="47"/>
      <c r="S44" s="267"/>
      <c r="T44" s="48"/>
      <c r="U44" s="48"/>
    </row>
    <row r="45" spans="1:21" s="46" customFormat="1" x14ac:dyDescent="0.25">
      <c r="A45" s="39" t="s">
        <v>245</v>
      </c>
      <c r="B45" s="40" t="s">
        <v>100</v>
      </c>
      <c r="C45" s="41" t="s">
        <v>57</v>
      </c>
      <c r="D45" s="42">
        <v>44927</v>
      </c>
      <c r="E45" s="42">
        <v>45291</v>
      </c>
      <c r="F45" s="42">
        <f t="shared" si="3"/>
        <v>45107</v>
      </c>
      <c r="G45" s="112">
        <f>_xlfn.XLOOKUP(F45,'A-6 CMS Market Basket Index '!$AZ$3:$AZ$8,'A-6 CMS Market Basket Index '!$BF$3:$BF$8)</f>
        <v>1.0538000000000001</v>
      </c>
      <c r="H45" s="44">
        <v>174956</v>
      </c>
      <c r="I45" s="44">
        <v>2522</v>
      </c>
      <c r="J45" s="65">
        <v>69.37</v>
      </c>
      <c r="K45" s="76">
        <f t="shared" si="4"/>
        <v>73.102106000000006</v>
      </c>
      <c r="L45" s="51"/>
      <c r="M45" s="46" t="s">
        <v>101</v>
      </c>
      <c r="N45" s="46">
        <v>84095</v>
      </c>
      <c r="O45" s="69" t="s">
        <v>218</v>
      </c>
      <c r="P45" s="70" t="s">
        <v>209</v>
      </c>
      <c r="R45" s="47"/>
      <c r="S45" s="267"/>
      <c r="T45" s="48"/>
      <c r="U45" s="48"/>
    </row>
    <row r="46" spans="1:21" s="46" customFormat="1" x14ac:dyDescent="0.25">
      <c r="A46" s="39" t="s">
        <v>245</v>
      </c>
      <c r="B46" s="40" t="s">
        <v>143</v>
      </c>
      <c r="C46" s="41" t="s">
        <v>144</v>
      </c>
      <c r="D46" s="42">
        <v>44927</v>
      </c>
      <c r="E46" s="42">
        <v>45291</v>
      </c>
      <c r="F46" s="42">
        <f t="shared" si="3"/>
        <v>45107</v>
      </c>
      <c r="G46" s="112">
        <f>_xlfn.XLOOKUP(F46,'A-6 CMS Market Basket Index '!$AZ$3:$AZ$8,'A-6 CMS Market Basket Index '!$BF$3:$BF$8)</f>
        <v>1.0538000000000001</v>
      </c>
      <c r="H46" s="44">
        <v>247790</v>
      </c>
      <c r="I46" s="44">
        <v>3514</v>
      </c>
      <c r="J46" s="65">
        <v>70.52</v>
      </c>
      <c r="K46" s="76">
        <f t="shared" si="4"/>
        <v>74.313975999999997</v>
      </c>
      <c r="L46" s="51"/>
      <c r="M46" s="46" t="s">
        <v>50</v>
      </c>
      <c r="N46" s="46">
        <v>84341</v>
      </c>
      <c r="O46" s="69" t="s">
        <v>210</v>
      </c>
      <c r="P46" s="70" t="s">
        <v>209</v>
      </c>
      <c r="R46" s="47"/>
      <c r="S46" s="267"/>
      <c r="T46" s="48"/>
      <c r="U46" s="48"/>
    </row>
    <row r="47" spans="1:21" s="46" customFormat="1" x14ac:dyDescent="0.25">
      <c r="A47" s="39" t="s">
        <v>245</v>
      </c>
      <c r="B47" s="40" t="s">
        <v>109</v>
      </c>
      <c r="C47" s="41" t="s">
        <v>110</v>
      </c>
      <c r="D47" s="42">
        <v>44927</v>
      </c>
      <c r="E47" s="42">
        <v>45291</v>
      </c>
      <c r="F47" s="42">
        <f t="shared" si="3"/>
        <v>45107</v>
      </c>
      <c r="G47" s="112">
        <f>_xlfn.XLOOKUP(F47,'A-6 CMS Market Basket Index '!$AZ$3:$AZ$8,'A-6 CMS Market Basket Index '!$BF$3:$BF$8)</f>
        <v>1.0538000000000001</v>
      </c>
      <c r="H47" s="44">
        <v>34242</v>
      </c>
      <c r="I47" s="44">
        <v>482</v>
      </c>
      <c r="J47" s="65">
        <v>71.040000000000006</v>
      </c>
      <c r="K47" s="76">
        <f t="shared" si="4"/>
        <v>74.861952000000016</v>
      </c>
      <c r="L47" s="51"/>
      <c r="M47" s="46" t="s">
        <v>44</v>
      </c>
      <c r="N47" s="46">
        <v>84501</v>
      </c>
      <c r="O47" s="69" t="s">
        <v>211</v>
      </c>
      <c r="P47" s="70" t="s">
        <v>209</v>
      </c>
      <c r="R47" s="47"/>
      <c r="S47" s="267"/>
      <c r="T47" s="48"/>
      <c r="U47" s="48"/>
    </row>
    <row r="48" spans="1:21" s="46" customFormat="1" x14ac:dyDescent="0.25">
      <c r="A48" s="39" t="s">
        <v>245</v>
      </c>
      <c r="B48" s="40" t="s">
        <v>158</v>
      </c>
      <c r="C48" s="41" t="s">
        <v>159</v>
      </c>
      <c r="D48" s="42">
        <v>44927</v>
      </c>
      <c r="E48" s="42">
        <v>45291</v>
      </c>
      <c r="F48" s="42">
        <f t="shared" si="3"/>
        <v>45107</v>
      </c>
      <c r="G48" s="112">
        <f>_xlfn.XLOOKUP(F48,'A-6 CMS Market Basket Index '!$AZ$3:$AZ$8,'A-6 CMS Market Basket Index '!$BF$3:$BF$8)</f>
        <v>1.0538000000000001</v>
      </c>
      <c r="H48" s="44">
        <v>1614236</v>
      </c>
      <c r="I48" s="44">
        <v>22496</v>
      </c>
      <c r="J48" s="65">
        <v>71.760000000000005</v>
      </c>
      <c r="K48" s="76">
        <f t="shared" si="4"/>
        <v>75.620688000000015</v>
      </c>
      <c r="L48" s="51"/>
      <c r="M48" s="46" t="s">
        <v>101</v>
      </c>
      <c r="N48" s="46">
        <v>84095</v>
      </c>
      <c r="O48" s="69" t="s">
        <v>218</v>
      </c>
      <c r="P48" s="70" t="s">
        <v>209</v>
      </c>
      <c r="R48" s="47"/>
      <c r="S48" s="267"/>
      <c r="T48" s="48"/>
      <c r="U48" s="48"/>
    </row>
    <row r="49" spans="1:21" s="46" customFormat="1" x14ac:dyDescent="0.25">
      <c r="A49" s="39" t="s">
        <v>245</v>
      </c>
      <c r="B49" s="40" t="s">
        <v>93</v>
      </c>
      <c r="C49" s="41" t="s">
        <v>94</v>
      </c>
      <c r="D49" s="42">
        <v>44927</v>
      </c>
      <c r="E49" s="42">
        <v>45291</v>
      </c>
      <c r="F49" s="42">
        <f t="shared" si="3"/>
        <v>45107</v>
      </c>
      <c r="G49" s="112">
        <f>_xlfn.XLOOKUP(F49,'A-6 CMS Market Basket Index '!$AZ$3:$AZ$8,'A-6 CMS Market Basket Index '!$BF$3:$BF$8)</f>
        <v>1.0538000000000001</v>
      </c>
      <c r="H49" s="44">
        <v>2938388</v>
      </c>
      <c r="I49" s="44">
        <v>40226</v>
      </c>
      <c r="J49" s="65">
        <v>73.05</v>
      </c>
      <c r="K49" s="76">
        <f t="shared" si="4"/>
        <v>76.980090000000004</v>
      </c>
      <c r="L49" s="51"/>
      <c r="M49" s="46" t="s">
        <v>18</v>
      </c>
      <c r="N49" s="46">
        <v>84107</v>
      </c>
      <c r="O49" s="69" t="s">
        <v>218</v>
      </c>
      <c r="P49" s="70" t="s">
        <v>209</v>
      </c>
      <c r="R49" s="47"/>
      <c r="S49" s="267"/>
      <c r="T49" s="48"/>
      <c r="U49" s="48"/>
    </row>
    <row r="50" spans="1:21" s="46" customFormat="1" x14ac:dyDescent="0.25">
      <c r="A50" s="39" t="s">
        <v>245</v>
      </c>
      <c r="B50" s="40" t="s">
        <v>196</v>
      </c>
      <c r="C50" s="41" t="s">
        <v>197</v>
      </c>
      <c r="D50" s="42">
        <v>44927</v>
      </c>
      <c r="E50" s="42">
        <v>45291</v>
      </c>
      <c r="F50" s="42">
        <f t="shared" si="3"/>
        <v>45107</v>
      </c>
      <c r="G50" s="112">
        <f>_xlfn.XLOOKUP(F50,'A-6 CMS Market Basket Index '!$AZ$3:$AZ$8,'A-6 CMS Market Basket Index '!$BF$3:$BF$8)</f>
        <v>1.0538000000000001</v>
      </c>
      <c r="H50" s="44">
        <v>890427</v>
      </c>
      <c r="I50" s="44">
        <v>11873</v>
      </c>
      <c r="J50" s="65">
        <v>75</v>
      </c>
      <c r="K50" s="76">
        <f t="shared" si="4"/>
        <v>79.035000000000011</v>
      </c>
      <c r="L50" s="51"/>
      <c r="M50" s="46" t="s">
        <v>48</v>
      </c>
      <c r="N50" s="46">
        <v>84107</v>
      </c>
      <c r="O50" s="69" t="s">
        <v>218</v>
      </c>
      <c r="P50" s="70" t="s">
        <v>209</v>
      </c>
      <c r="R50" s="47"/>
      <c r="S50" s="267"/>
      <c r="T50" s="48"/>
      <c r="U50" s="48"/>
    </row>
    <row r="51" spans="1:21" s="46" customFormat="1" x14ac:dyDescent="0.25">
      <c r="A51" s="39" t="s">
        <v>245</v>
      </c>
      <c r="B51" s="40" t="s">
        <v>116</v>
      </c>
      <c r="C51" s="41" t="s">
        <v>114</v>
      </c>
      <c r="D51" s="42">
        <v>44927</v>
      </c>
      <c r="E51" s="42">
        <v>45291</v>
      </c>
      <c r="F51" s="42">
        <f t="shared" si="3"/>
        <v>45107</v>
      </c>
      <c r="G51" s="112">
        <f>_xlfn.XLOOKUP(F51,'A-6 CMS Market Basket Index '!$AZ$3:$AZ$8,'A-6 CMS Market Basket Index '!$BF$3:$BF$8)</f>
        <v>1.0538000000000001</v>
      </c>
      <c r="H51" s="44">
        <v>259420</v>
      </c>
      <c r="I51" s="44">
        <v>3455</v>
      </c>
      <c r="J51" s="65">
        <v>75.09</v>
      </c>
      <c r="K51" s="76">
        <f t="shared" si="4"/>
        <v>79.129842000000011</v>
      </c>
      <c r="L51" s="51"/>
      <c r="M51" s="46" t="s">
        <v>62</v>
      </c>
      <c r="N51" s="46">
        <v>84770</v>
      </c>
      <c r="O51" s="69" t="s">
        <v>223</v>
      </c>
      <c r="P51" s="70" t="s">
        <v>209</v>
      </c>
      <c r="R51" s="47"/>
      <c r="S51" s="267"/>
      <c r="T51" s="48"/>
      <c r="U51" s="48"/>
    </row>
    <row r="52" spans="1:21" s="46" customFormat="1" x14ac:dyDescent="0.25">
      <c r="A52" s="39" t="s">
        <v>245</v>
      </c>
      <c r="B52" s="40" t="s">
        <v>138</v>
      </c>
      <c r="C52" s="41" t="s">
        <v>139</v>
      </c>
      <c r="D52" s="42">
        <v>44927</v>
      </c>
      <c r="E52" s="42">
        <v>45291</v>
      </c>
      <c r="F52" s="42">
        <f t="shared" si="3"/>
        <v>45107</v>
      </c>
      <c r="G52" s="112">
        <f>_xlfn.XLOOKUP(F52,'A-6 CMS Market Basket Index '!$AZ$3:$AZ$8,'A-6 CMS Market Basket Index '!$BF$3:$BF$8)</f>
        <v>1.0538000000000001</v>
      </c>
      <c r="H52" s="44">
        <v>35569</v>
      </c>
      <c r="I52" s="44">
        <v>473</v>
      </c>
      <c r="J52" s="65">
        <v>75.2</v>
      </c>
      <c r="K52" s="76">
        <f t="shared" si="4"/>
        <v>79.245760000000004</v>
      </c>
      <c r="L52" s="51"/>
      <c r="M52" s="46" t="s">
        <v>51</v>
      </c>
      <c r="N52" s="46">
        <v>84721</v>
      </c>
      <c r="O52" s="69" t="s">
        <v>216</v>
      </c>
      <c r="P52" s="70" t="s">
        <v>209</v>
      </c>
      <c r="R52" s="47"/>
      <c r="S52" s="267"/>
      <c r="T52" s="48"/>
      <c r="U52" s="48"/>
    </row>
    <row r="53" spans="1:21" s="46" customFormat="1" x14ac:dyDescent="0.25">
      <c r="A53" s="39" t="s">
        <v>245</v>
      </c>
      <c r="B53" s="40" t="s">
        <v>145</v>
      </c>
      <c r="C53" s="41" t="s">
        <v>146</v>
      </c>
      <c r="D53" s="42">
        <v>44927</v>
      </c>
      <c r="E53" s="42">
        <v>45291</v>
      </c>
      <c r="F53" s="42">
        <f t="shared" si="3"/>
        <v>45107</v>
      </c>
      <c r="G53" s="112">
        <f>_xlfn.XLOOKUP(F53,'A-6 CMS Market Basket Index '!$AZ$3:$AZ$8,'A-6 CMS Market Basket Index '!$BF$3:$BF$8)</f>
        <v>1.0538000000000001</v>
      </c>
      <c r="H53" s="44">
        <v>131786</v>
      </c>
      <c r="I53" s="44">
        <v>1587</v>
      </c>
      <c r="J53" s="65">
        <v>83.04</v>
      </c>
      <c r="K53" s="76">
        <f t="shared" si="4"/>
        <v>87.507552000000018</v>
      </c>
      <c r="L53" s="51"/>
      <c r="M53" s="46" t="s">
        <v>41</v>
      </c>
      <c r="N53" s="46">
        <v>84647</v>
      </c>
      <c r="O53" s="69" t="s">
        <v>220</v>
      </c>
      <c r="P53" s="70" t="s">
        <v>209</v>
      </c>
      <c r="R53" s="47"/>
      <c r="S53" s="267"/>
      <c r="T53" s="48"/>
      <c r="U53" s="48"/>
    </row>
    <row r="54" spans="1:21" s="46" customFormat="1" x14ac:dyDescent="0.25">
      <c r="A54" s="50" t="s">
        <v>246</v>
      </c>
      <c r="B54" s="86" t="s">
        <v>35</v>
      </c>
      <c r="C54" s="87">
        <v>467035</v>
      </c>
      <c r="D54" s="88">
        <v>45108</v>
      </c>
      <c r="E54" s="88">
        <v>45473</v>
      </c>
      <c r="F54" s="42">
        <f>((D54+E54)/2)+1</f>
        <v>45291.5</v>
      </c>
      <c r="G54" s="112">
        <f>_xlfn.XLOOKUP(F54,'A-6 CMS Market Basket Index '!$AZ$3:$AZ$8,'A-6 CMS Market Basket Index '!$BF$3:$BF$8)</f>
        <v>1.0366</v>
      </c>
      <c r="H54" s="49">
        <v>419756</v>
      </c>
      <c r="I54" s="49">
        <v>4921</v>
      </c>
      <c r="J54" s="80">
        <v>85.3</v>
      </c>
      <c r="K54" s="76">
        <f t="shared" si="4"/>
        <v>88.421979999999991</v>
      </c>
      <c r="L54" s="51"/>
      <c r="M54" s="90" t="s">
        <v>34</v>
      </c>
      <c r="N54" s="90">
        <v>84634</v>
      </c>
      <c r="O54" s="91" t="s">
        <v>220</v>
      </c>
      <c r="P54" s="92" t="s">
        <v>209</v>
      </c>
      <c r="Q54" s="52" t="s">
        <v>32</v>
      </c>
      <c r="R54" s="53" t="s">
        <v>33</v>
      </c>
      <c r="S54" s="267"/>
      <c r="T54" s="48"/>
      <c r="U54" s="48"/>
    </row>
    <row r="55" spans="1:21" s="46" customFormat="1" x14ac:dyDescent="0.25">
      <c r="A55" s="39" t="s">
        <v>245</v>
      </c>
      <c r="B55" s="40" t="s">
        <v>123</v>
      </c>
      <c r="C55" s="41" t="s">
        <v>124</v>
      </c>
      <c r="D55" s="42">
        <v>44927</v>
      </c>
      <c r="E55" s="42">
        <v>45291</v>
      </c>
      <c r="F55" s="42">
        <f t="shared" ref="F55:F62" si="5">((D55+E55)/2)-2</f>
        <v>45107</v>
      </c>
      <c r="G55" s="112">
        <f>_xlfn.XLOOKUP(F55,'A-6 CMS Market Basket Index '!$AZ$3:$AZ$8,'A-6 CMS Market Basket Index '!$BF$3:$BF$8)</f>
        <v>1.0538000000000001</v>
      </c>
      <c r="H55" s="44">
        <v>203251</v>
      </c>
      <c r="I55" s="44">
        <v>2396</v>
      </c>
      <c r="J55" s="65">
        <v>84.83</v>
      </c>
      <c r="K55" s="76">
        <f t="shared" si="4"/>
        <v>89.393854000000005</v>
      </c>
      <c r="L55" s="51"/>
      <c r="M55" s="46" t="s">
        <v>23</v>
      </c>
      <c r="N55" s="46">
        <v>84088</v>
      </c>
      <c r="O55" s="69" t="s">
        <v>218</v>
      </c>
      <c r="P55" s="70" t="s">
        <v>209</v>
      </c>
      <c r="R55" s="47"/>
      <c r="S55" s="267"/>
      <c r="T55" s="48"/>
      <c r="U55" s="48"/>
    </row>
    <row r="56" spans="1:21" s="46" customFormat="1" x14ac:dyDescent="0.25">
      <c r="A56" s="39" t="s">
        <v>245</v>
      </c>
      <c r="B56" s="40" t="s">
        <v>115</v>
      </c>
      <c r="C56" s="41" t="s">
        <v>113</v>
      </c>
      <c r="D56" s="42">
        <v>44927</v>
      </c>
      <c r="E56" s="42">
        <v>45291</v>
      </c>
      <c r="F56" s="42">
        <f t="shared" si="5"/>
        <v>45107</v>
      </c>
      <c r="G56" s="112">
        <f>_xlfn.XLOOKUP(F56,'A-6 CMS Market Basket Index '!$AZ$3:$AZ$8,'A-6 CMS Market Basket Index '!$BF$3:$BF$8)</f>
        <v>1.0538000000000001</v>
      </c>
      <c r="H56" s="44">
        <v>458469</v>
      </c>
      <c r="I56" s="44">
        <v>5366</v>
      </c>
      <c r="J56" s="65">
        <v>85.44</v>
      </c>
      <c r="K56" s="76">
        <f t="shared" si="4"/>
        <v>90.03667200000001</v>
      </c>
      <c r="L56" s="51"/>
      <c r="M56" s="46" t="s">
        <v>48</v>
      </c>
      <c r="N56" s="46">
        <v>84123</v>
      </c>
      <c r="O56" s="69" t="s">
        <v>218</v>
      </c>
      <c r="P56" s="70" t="s">
        <v>209</v>
      </c>
      <c r="R56" s="47"/>
      <c r="S56" s="267"/>
      <c r="T56" s="48"/>
      <c r="U56" s="48"/>
    </row>
    <row r="57" spans="1:21" s="46" customFormat="1" x14ac:dyDescent="0.25">
      <c r="A57" s="39" t="s">
        <v>245</v>
      </c>
      <c r="B57" s="40" t="s">
        <v>58</v>
      </c>
      <c r="C57" s="41" t="s">
        <v>59</v>
      </c>
      <c r="D57" s="42">
        <v>44927</v>
      </c>
      <c r="E57" s="42">
        <v>45291</v>
      </c>
      <c r="F57" s="42">
        <f t="shared" si="5"/>
        <v>45107</v>
      </c>
      <c r="G57" s="112">
        <f>_xlfn.XLOOKUP(F57,'A-6 CMS Market Basket Index '!$AZ$3:$AZ$8,'A-6 CMS Market Basket Index '!$BF$3:$BF$8)</f>
        <v>1.0538000000000001</v>
      </c>
      <c r="H57" s="44">
        <v>552173</v>
      </c>
      <c r="I57" s="44">
        <v>6326</v>
      </c>
      <c r="J57" s="65">
        <v>87.29</v>
      </c>
      <c r="K57" s="76">
        <f t="shared" si="4"/>
        <v>91.986202000000006</v>
      </c>
      <c r="L57" s="51"/>
      <c r="M57" s="46" t="s">
        <v>42</v>
      </c>
      <c r="N57" s="46">
        <v>84070</v>
      </c>
      <c r="O57" s="69" t="s">
        <v>218</v>
      </c>
      <c r="P57" s="70" t="s">
        <v>209</v>
      </c>
      <c r="R57" s="47"/>
      <c r="S57" s="267"/>
      <c r="T57" s="48"/>
      <c r="U57" s="48"/>
    </row>
    <row r="58" spans="1:21" s="46" customFormat="1" x14ac:dyDescent="0.25">
      <c r="A58" s="39" t="s">
        <v>245</v>
      </c>
      <c r="B58" s="40" t="s">
        <v>119</v>
      </c>
      <c r="C58" s="41" t="s">
        <v>120</v>
      </c>
      <c r="D58" s="42">
        <v>44927</v>
      </c>
      <c r="E58" s="42">
        <v>45291</v>
      </c>
      <c r="F58" s="42">
        <f t="shared" si="5"/>
        <v>45107</v>
      </c>
      <c r="G58" s="112">
        <f>_xlfn.XLOOKUP(F58,'A-6 CMS Market Basket Index '!$AZ$3:$AZ$8,'A-6 CMS Market Basket Index '!$BF$3:$BF$8)</f>
        <v>1.0538000000000001</v>
      </c>
      <c r="H58" s="44">
        <v>518974</v>
      </c>
      <c r="I58" s="44">
        <v>5786</v>
      </c>
      <c r="J58" s="65">
        <v>89.69</v>
      </c>
      <c r="K58" s="76">
        <f t="shared" si="4"/>
        <v>94.515321999999998</v>
      </c>
      <c r="L58" s="51"/>
      <c r="M58" s="46" t="s">
        <v>104</v>
      </c>
      <c r="N58" s="46">
        <v>84119</v>
      </c>
      <c r="O58" s="69" t="s">
        <v>218</v>
      </c>
      <c r="P58" s="70" t="s">
        <v>209</v>
      </c>
      <c r="R58" s="47"/>
      <c r="S58" s="267"/>
      <c r="T58" s="48"/>
      <c r="U58" s="48"/>
    </row>
    <row r="59" spans="1:21" s="46" customFormat="1" x14ac:dyDescent="0.25">
      <c r="A59" s="39" t="s">
        <v>245</v>
      </c>
      <c r="B59" s="40" t="s">
        <v>192</v>
      </c>
      <c r="C59" s="41" t="s">
        <v>193</v>
      </c>
      <c r="D59" s="42">
        <v>44927</v>
      </c>
      <c r="E59" s="42">
        <v>45291</v>
      </c>
      <c r="F59" s="42">
        <f t="shared" si="5"/>
        <v>45107</v>
      </c>
      <c r="G59" s="112">
        <f>_xlfn.XLOOKUP(F59,'A-6 CMS Market Basket Index '!$AZ$3:$AZ$8,'A-6 CMS Market Basket Index '!$BF$3:$BF$8)</f>
        <v>1.0538000000000001</v>
      </c>
      <c r="H59" s="44">
        <v>70628</v>
      </c>
      <c r="I59" s="44">
        <v>782</v>
      </c>
      <c r="J59" s="65">
        <v>90.32</v>
      </c>
      <c r="K59" s="76">
        <f t="shared" si="4"/>
        <v>95.179215999999997</v>
      </c>
      <c r="L59" s="51"/>
      <c r="M59" s="46" t="s">
        <v>62</v>
      </c>
      <c r="N59" s="46">
        <v>84790</v>
      </c>
      <c r="O59" s="69" t="s">
        <v>223</v>
      </c>
      <c r="P59" s="70" t="s">
        <v>209</v>
      </c>
      <c r="R59" s="47"/>
      <c r="S59" s="267"/>
      <c r="T59" s="48"/>
      <c r="U59" s="48"/>
    </row>
    <row r="60" spans="1:21" s="46" customFormat="1" x14ac:dyDescent="0.25">
      <c r="A60" s="39" t="s">
        <v>245</v>
      </c>
      <c r="B60" s="40" t="s">
        <v>78</v>
      </c>
      <c r="C60" s="41" t="s">
        <v>79</v>
      </c>
      <c r="D60" s="42">
        <v>44927</v>
      </c>
      <c r="E60" s="42">
        <v>45291</v>
      </c>
      <c r="F60" s="42">
        <f t="shared" si="5"/>
        <v>45107</v>
      </c>
      <c r="G60" s="112">
        <f>_xlfn.XLOOKUP(F60,'A-6 CMS Market Basket Index '!$AZ$3:$AZ$8,'A-6 CMS Market Basket Index '!$BF$3:$BF$8)</f>
        <v>1.0538000000000001</v>
      </c>
      <c r="H60" s="44">
        <v>387277</v>
      </c>
      <c r="I60" s="44">
        <v>4239</v>
      </c>
      <c r="J60" s="65">
        <v>91.36</v>
      </c>
      <c r="K60" s="76">
        <f t="shared" si="4"/>
        <v>96.275168000000008</v>
      </c>
      <c r="L60" s="51"/>
      <c r="M60" s="46" t="s">
        <v>80</v>
      </c>
      <c r="N60" s="46">
        <v>84654</v>
      </c>
      <c r="O60" s="69" t="s">
        <v>221</v>
      </c>
      <c r="P60" s="70" t="s">
        <v>209</v>
      </c>
      <c r="R60" s="47"/>
      <c r="S60" s="267"/>
      <c r="T60" s="48"/>
      <c r="U60" s="48"/>
    </row>
    <row r="61" spans="1:21" s="46" customFormat="1" x14ac:dyDescent="0.25">
      <c r="A61" s="39" t="s">
        <v>245</v>
      </c>
      <c r="B61" s="40" t="s">
        <v>107</v>
      </c>
      <c r="C61" s="41" t="s">
        <v>108</v>
      </c>
      <c r="D61" s="42">
        <v>44927</v>
      </c>
      <c r="E61" s="42">
        <v>45291</v>
      </c>
      <c r="F61" s="42">
        <f t="shared" si="5"/>
        <v>45107</v>
      </c>
      <c r="G61" s="112">
        <f>_xlfn.XLOOKUP(F61,'A-6 CMS Market Basket Index '!$AZ$3:$AZ$8,'A-6 CMS Market Basket Index '!$BF$3:$BF$8)</f>
        <v>1.0538000000000001</v>
      </c>
      <c r="H61" s="44">
        <v>77047</v>
      </c>
      <c r="I61" s="44">
        <v>822</v>
      </c>
      <c r="J61" s="65">
        <v>93.73</v>
      </c>
      <c r="K61" s="76">
        <f t="shared" si="4"/>
        <v>98.772674000000009</v>
      </c>
      <c r="L61" s="51"/>
      <c r="M61" s="46" t="s">
        <v>62</v>
      </c>
      <c r="N61" s="46">
        <v>84790</v>
      </c>
      <c r="O61" s="69" t="s">
        <v>223</v>
      </c>
      <c r="P61" s="70" t="s">
        <v>209</v>
      </c>
      <c r="R61" s="47"/>
      <c r="S61" s="267"/>
      <c r="T61" s="48"/>
      <c r="U61" s="48"/>
    </row>
    <row r="62" spans="1:21" s="46" customFormat="1" x14ac:dyDescent="0.25">
      <c r="A62" s="39" t="s">
        <v>245</v>
      </c>
      <c r="B62" s="40" t="s">
        <v>127</v>
      </c>
      <c r="C62" s="41" t="s">
        <v>128</v>
      </c>
      <c r="D62" s="42">
        <v>44927</v>
      </c>
      <c r="E62" s="42">
        <v>45291</v>
      </c>
      <c r="F62" s="42">
        <f t="shared" si="5"/>
        <v>45107</v>
      </c>
      <c r="G62" s="112">
        <f>_xlfn.XLOOKUP(F62,'A-6 CMS Market Basket Index '!$AZ$3:$AZ$8,'A-6 CMS Market Basket Index '!$BF$3:$BF$8)</f>
        <v>1.0538000000000001</v>
      </c>
      <c r="H62" s="44">
        <v>534236</v>
      </c>
      <c r="I62" s="44">
        <v>5066</v>
      </c>
      <c r="J62" s="65">
        <v>105.46</v>
      </c>
      <c r="K62" s="76">
        <f t="shared" si="4"/>
        <v>111.133748</v>
      </c>
      <c r="L62" s="51"/>
      <c r="M62" s="46" t="s">
        <v>129</v>
      </c>
      <c r="N62" s="46">
        <v>84063</v>
      </c>
      <c r="O62" s="69" t="s">
        <v>222</v>
      </c>
      <c r="P62" s="70" t="s">
        <v>209</v>
      </c>
      <c r="R62" s="47"/>
      <c r="S62" s="267"/>
      <c r="T62" s="48"/>
      <c r="U62" s="48"/>
    </row>
    <row r="63" spans="1:21" s="46" customFormat="1" x14ac:dyDescent="0.25">
      <c r="A63" s="39" t="s">
        <v>245</v>
      </c>
      <c r="B63" s="40" t="s">
        <v>98</v>
      </c>
      <c r="C63" s="41" t="s">
        <v>99</v>
      </c>
      <c r="D63" s="42">
        <v>45017</v>
      </c>
      <c r="E63" s="42">
        <v>45322</v>
      </c>
      <c r="F63" s="42">
        <f>((D63+E63)/2)</f>
        <v>45169.5</v>
      </c>
      <c r="G63" s="112">
        <f>_xlfn.XLOOKUP(F63,'A-6 CMS Market Basket Index '!$AZ$3:$AZ$8,'A-6 CMS Market Basket Index '!$BF$3:$BF$8)</f>
        <v>1.0426</v>
      </c>
      <c r="H63" s="44">
        <v>5825</v>
      </c>
      <c r="I63" s="44">
        <v>54</v>
      </c>
      <c r="J63" s="65">
        <v>107.87</v>
      </c>
      <c r="K63" s="76">
        <f t="shared" si="4"/>
        <v>112.465262</v>
      </c>
      <c r="L63" s="51"/>
      <c r="M63" s="46" t="s">
        <v>52</v>
      </c>
      <c r="N63" s="46">
        <v>84790</v>
      </c>
      <c r="O63" s="69" t="s">
        <v>223</v>
      </c>
      <c r="P63" s="70" t="s">
        <v>209</v>
      </c>
      <c r="R63" s="47"/>
      <c r="S63" s="267"/>
      <c r="T63" s="48"/>
      <c r="U63" s="48"/>
    </row>
    <row r="64" spans="1:21" s="46" customFormat="1" x14ac:dyDescent="0.25">
      <c r="A64" s="39" t="s">
        <v>245</v>
      </c>
      <c r="B64" s="40" t="s">
        <v>131</v>
      </c>
      <c r="C64" s="41" t="s">
        <v>130</v>
      </c>
      <c r="D64" s="42">
        <v>44927</v>
      </c>
      <c r="E64" s="42">
        <v>45291</v>
      </c>
      <c r="F64" s="42">
        <f t="shared" ref="F64:F72" si="6">((D64+E64)/2)-2</f>
        <v>45107</v>
      </c>
      <c r="G64" s="112">
        <f>_xlfn.XLOOKUP(F64,'A-6 CMS Market Basket Index '!$AZ$3:$AZ$8,'A-6 CMS Market Basket Index '!$BF$3:$BF$8)</f>
        <v>1.0538000000000001</v>
      </c>
      <c r="H64" s="44">
        <v>124778</v>
      </c>
      <c r="I64" s="44">
        <v>1155</v>
      </c>
      <c r="J64" s="65">
        <v>108.03</v>
      </c>
      <c r="K64" s="76">
        <f t="shared" si="4"/>
        <v>113.84201400000001</v>
      </c>
      <c r="L64" s="51"/>
      <c r="M64" s="46" t="s">
        <v>48</v>
      </c>
      <c r="N64" s="46">
        <v>84107</v>
      </c>
      <c r="O64" s="69" t="s">
        <v>218</v>
      </c>
      <c r="P64" s="70" t="s">
        <v>209</v>
      </c>
      <c r="R64" s="47"/>
      <c r="S64" s="267"/>
      <c r="T64" s="48"/>
      <c r="U64" s="48"/>
    </row>
    <row r="65" spans="1:21" s="46" customFormat="1" x14ac:dyDescent="0.25">
      <c r="A65" s="39" t="s">
        <v>245</v>
      </c>
      <c r="B65" s="40" t="s">
        <v>105</v>
      </c>
      <c r="C65" s="41" t="s">
        <v>106</v>
      </c>
      <c r="D65" s="42">
        <v>44927</v>
      </c>
      <c r="E65" s="42">
        <v>45291</v>
      </c>
      <c r="F65" s="42">
        <f t="shared" si="6"/>
        <v>45107</v>
      </c>
      <c r="G65" s="112">
        <f>_xlfn.XLOOKUP(F65,'A-6 CMS Market Basket Index '!$AZ$3:$AZ$8,'A-6 CMS Market Basket Index '!$BF$3:$BF$8)</f>
        <v>1.0538000000000001</v>
      </c>
      <c r="H65" s="44">
        <v>377665</v>
      </c>
      <c r="I65" s="44">
        <v>3313</v>
      </c>
      <c r="J65" s="65">
        <v>113.99</v>
      </c>
      <c r="K65" s="76">
        <f t="shared" si="4"/>
        <v>120.12266200000001</v>
      </c>
      <c r="L65" s="51" t="str">
        <f t="shared" ref="L65:L76" si="7">IF(K65&gt;$K$95,"OL","")</f>
        <v/>
      </c>
      <c r="M65" s="46" t="s">
        <v>49</v>
      </c>
      <c r="N65" s="46">
        <v>84003</v>
      </c>
      <c r="O65" s="69" t="s">
        <v>15</v>
      </c>
      <c r="P65" s="70" t="s">
        <v>213</v>
      </c>
      <c r="R65" s="47"/>
      <c r="S65" s="267"/>
      <c r="T65" s="48"/>
      <c r="U65" s="48"/>
    </row>
    <row r="66" spans="1:21" s="46" customFormat="1" x14ac:dyDescent="0.25">
      <c r="A66" s="39" t="s">
        <v>245</v>
      </c>
      <c r="B66" s="40" t="s">
        <v>63</v>
      </c>
      <c r="C66" s="41" t="s">
        <v>64</v>
      </c>
      <c r="D66" s="42">
        <v>44927</v>
      </c>
      <c r="E66" s="42">
        <v>45291</v>
      </c>
      <c r="F66" s="42">
        <f t="shared" si="6"/>
        <v>45107</v>
      </c>
      <c r="G66" s="112">
        <f>_xlfn.XLOOKUP(F66,'A-6 CMS Market Basket Index '!$AZ$3:$AZ$8,'A-6 CMS Market Basket Index '!$BF$3:$BF$8)</f>
        <v>1.0538000000000001</v>
      </c>
      <c r="H66" s="44">
        <v>59071</v>
      </c>
      <c r="I66" s="44">
        <v>508</v>
      </c>
      <c r="J66" s="65">
        <v>116.28</v>
      </c>
      <c r="K66" s="76">
        <f t="shared" si="4"/>
        <v>122.535864</v>
      </c>
      <c r="L66" s="51" t="str">
        <f t="shared" si="7"/>
        <v/>
      </c>
      <c r="M66" s="46" t="s">
        <v>48</v>
      </c>
      <c r="N66" s="46">
        <v>84107</v>
      </c>
      <c r="O66" s="69" t="s">
        <v>218</v>
      </c>
      <c r="P66" s="70" t="s">
        <v>209</v>
      </c>
      <c r="R66" s="47"/>
      <c r="S66" s="267"/>
      <c r="T66" s="48"/>
      <c r="U66" s="48"/>
    </row>
    <row r="67" spans="1:21" s="46" customFormat="1" x14ac:dyDescent="0.25">
      <c r="A67" s="39" t="s">
        <v>245</v>
      </c>
      <c r="B67" s="40" t="s">
        <v>69</v>
      </c>
      <c r="C67" s="41" t="s">
        <v>70</v>
      </c>
      <c r="D67" s="42">
        <v>44927</v>
      </c>
      <c r="E67" s="42">
        <v>45291</v>
      </c>
      <c r="F67" s="42">
        <f t="shared" si="6"/>
        <v>45107</v>
      </c>
      <c r="G67" s="112">
        <f>_xlfn.XLOOKUP(F67,'A-6 CMS Market Basket Index '!$AZ$3:$AZ$8,'A-6 CMS Market Basket Index '!$BF$3:$BF$8)</f>
        <v>1.0538000000000001</v>
      </c>
      <c r="H67" s="44">
        <v>962325</v>
      </c>
      <c r="I67" s="44">
        <v>8201</v>
      </c>
      <c r="J67" s="65">
        <v>117.34</v>
      </c>
      <c r="K67" s="76">
        <f t="shared" si="4"/>
        <v>123.65289200000001</v>
      </c>
      <c r="L67" s="51" t="str">
        <f t="shared" si="7"/>
        <v/>
      </c>
      <c r="M67" s="46" t="s">
        <v>48</v>
      </c>
      <c r="N67" s="46">
        <v>84123</v>
      </c>
      <c r="O67" s="69" t="s">
        <v>218</v>
      </c>
      <c r="P67" s="70" t="s">
        <v>209</v>
      </c>
      <c r="R67" s="47"/>
      <c r="S67" s="267"/>
      <c r="T67" s="48"/>
      <c r="U67" s="48"/>
    </row>
    <row r="68" spans="1:21" s="46" customFormat="1" x14ac:dyDescent="0.25">
      <c r="A68" s="39" t="s">
        <v>245</v>
      </c>
      <c r="B68" s="40" t="s">
        <v>88</v>
      </c>
      <c r="C68" s="41" t="s">
        <v>89</v>
      </c>
      <c r="D68" s="42">
        <v>44927</v>
      </c>
      <c r="E68" s="42">
        <v>45291</v>
      </c>
      <c r="F68" s="42">
        <f t="shared" si="6"/>
        <v>45107</v>
      </c>
      <c r="G68" s="112">
        <f>_xlfn.XLOOKUP(F68,'A-6 CMS Market Basket Index '!$AZ$3:$AZ$8,'A-6 CMS Market Basket Index '!$BF$3:$BF$8)</f>
        <v>1.0538000000000001</v>
      </c>
      <c r="H68" s="44">
        <v>717668</v>
      </c>
      <c r="I68" s="44">
        <v>5846</v>
      </c>
      <c r="J68" s="65">
        <v>122.76</v>
      </c>
      <c r="K68" s="76">
        <f t="shared" si="4"/>
        <v>129.36448800000002</v>
      </c>
      <c r="L68" s="51" t="str">
        <f t="shared" si="7"/>
        <v/>
      </c>
      <c r="M68" s="46" t="s">
        <v>48</v>
      </c>
      <c r="N68" s="46">
        <v>84121</v>
      </c>
      <c r="O68" s="69" t="s">
        <v>218</v>
      </c>
      <c r="P68" s="70" t="s">
        <v>209</v>
      </c>
      <c r="R68" s="47"/>
      <c r="S68" s="267"/>
      <c r="T68" s="48"/>
      <c r="U68" s="48"/>
    </row>
    <row r="69" spans="1:21" s="46" customFormat="1" x14ac:dyDescent="0.25">
      <c r="A69" s="39" t="s">
        <v>245</v>
      </c>
      <c r="B69" s="40" t="s">
        <v>180</v>
      </c>
      <c r="C69" s="41" t="s">
        <v>181</v>
      </c>
      <c r="D69" s="42">
        <v>44927</v>
      </c>
      <c r="E69" s="42">
        <v>45291</v>
      </c>
      <c r="F69" s="42">
        <f t="shared" si="6"/>
        <v>45107</v>
      </c>
      <c r="G69" s="112">
        <f>_xlfn.XLOOKUP(F69,'A-6 CMS Market Basket Index '!$AZ$3:$AZ$8,'A-6 CMS Market Basket Index '!$BF$3:$BF$8)</f>
        <v>1.0538000000000001</v>
      </c>
      <c r="H69" s="44">
        <v>1459185</v>
      </c>
      <c r="I69" s="44">
        <v>11237</v>
      </c>
      <c r="J69" s="65">
        <v>129.86000000000001</v>
      </c>
      <c r="K69" s="76">
        <f t="shared" si="4"/>
        <v>136.84646800000002</v>
      </c>
      <c r="L69" s="51" t="str">
        <f t="shared" si="7"/>
        <v/>
      </c>
      <c r="M69" s="46" t="s">
        <v>62</v>
      </c>
      <c r="N69" s="46">
        <v>84770</v>
      </c>
      <c r="O69" s="69" t="s">
        <v>223</v>
      </c>
      <c r="P69" s="70" t="s">
        <v>209</v>
      </c>
      <c r="R69" s="47"/>
      <c r="S69" s="267"/>
      <c r="T69" s="48"/>
      <c r="U69" s="48"/>
    </row>
    <row r="70" spans="1:21" s="46" customFormat="1" x14ac:dyDescent="0.25">
      <c r="A70" s="39" t="s">
        <v>245</v>
      </c>
      <c r="B70" s="40" t="s">
        <v>201</v>
      </c>
      <c r="C70" s="41" t="s">
        <v>202</v>
      </c>
      <c r="D70" s="42">
        <v>44927</v>
      </c>
      <c r="E70" s="42">
        <v>45291</v>
      </c>
      <c r="F70" s="42">
        <f t="shared" si="6"/>
        <v>45107</v>
      </c>
      <c r="G70" s="112">
        <f>_xlfn.XLOOKUP(F70,'A-6 CMS Market Basket Index '!$AZ$3:$AZ$8,'A-6 CMS Market Basket Index '!$BF$3:$BF$8)</f>
        <v>1.0538000000000001</v>
      </c>
      <c r="H70" s="44">
        <v>28138</v>
      </c>
      <c r="I70" s="44">
        <v>190</v>
      </c>
      <c r="J70" s="65">
        <v>148.09</v>
      </c>
      <c r="K70" s="76">
        <f t="shared" ref="K70:K78" si="8">IF(J70="","",J70*$G70)</f>
        <v>156.057242</v>
      </c>
      <c r="L70" s="51" t="str">
        <f t="shared" si="7"/>
        <v/>
      </c>
      <c r="M70" s="46" t="s">
        <v>104</v>
      </c>
      <c r="N70" s="46">
        <v>84119</v>
      </c>
      <c r="O70" s="69" t="s">
        <v>218</v>
      </c>
      <c r="P70" s="70" t="s">
        <v>209</v>
      </c>
      <c r="R70" s="47"/>
      <c r="S70" s="267"/>
      <c r="T70" s="48"/>
      <c r="U70" s="48"/>
    </row>
    <row r="71" spans="1:21" s="46" customFormat="1" x14ac:dyDescent="0.25">
      <c r="A71" s="39" t="s">
        <v>245</v>
      </c>
      <c r="B71" s="40" t="s">
        <v>152</v>
      </c>
      <c r="C71" s="41" t="s">
        <v>153</v>
      </c>
      <c r="D71" s="42">
        <v>44927</v>
      </c>
      <c r="E71" s="42">
        <v>45291</v>
      </c>
      <c r="F71" s="42">
        <f t="shared" si="6"/>
        <v>45107</v>
      </c>
      <c r="G71" s="112">
        <f>_xlfn.XLOOKUP(F71,'A-6 CMS Market Basket Index '!$AZ$3:$AZ$8,'A-6 CMS Market Basket Index '!$BF$3:$BF$8)</f>
        <v>1.0538000000000001</v>
      </c>
      <c r="H71" s="44">
        <v>57919</v>
      </c>
      <c r="I71" s="44">
        <v>324</v>
      </c>
      <c r="J71" s="65">
        <v>178.76</v>
      </c>
      <c r="K71" s="76">
        <f t="shared" si="8"/>
        <v>188.37728799999999</v>
      </c>
      <c r="L71" s="51" t="str">
        <f t="shared" si="7"/>
        <v>OL</v>
      </c>
      <c r="M71" s="46" t="s">
        <v>62</v>
      </c>
      <c r="N71" s="46">
        <v>84790</v>
      </c>
      <c r="O71" s="69" t="s">
        <v>223</v>
      </c>
      <c r="P71" s="70" t="s">
        <v>209</v>
      </c>
      <c r="R71" s="47"/>
      <c r="S71" s="267"/>
      <c r="T71" s="48"/>
      <c r="U71" s="48"/>
    </row>
    <row r="72" spans="1:21" s="46" customFormat="1" x14ac:dyDescent="0.25">
      <c r="A72" s="39" t="s">
        <v>245</v>
      </c>
      <c r="B72" s="40" t="s">
        <v>86</v>
      </c>
      <c r="C72" s="41" t="s">
        <v>87</v>
      </c>
      <c r="D72" s="42">
        <v>44927</v>
      </c>
      <c r="E72" s="42">
        <v>45291</v>
      </c>
      <c r="F72" s="42">
        <f t="shared" si="6"/>
        <v>45107</v>
      </c>
      <c r="G72" s="112">
        <f>_xlfn.XLOOKUP(F72,'A-6 CMS Market Basket Index '!$AZ$3:$AZ$8,'A-6 CMS Market Basket Index '!$BF$3:$BF$8)</f>
        <v>1.0538000000000001</v>
      </c>
      <c r="H72" s="44">
        <v>70196</v>
      </c>
      <c r="I72" s="44">
        <v>320</v>
      </c>
      <c r="J72" s="65">
        <v>219.36</v>
      </c>
      <c r="K72" s="76">
        <f t="shared" si="8"/>
        <v>231.16156800000002</v>
      </c>
      <c r="L72" s="51" t="str">
        <f t="shared" si="7"/>
        <v>OL</v>
      </c>
      <c r="M72" s="46" t="s">
        <v>50</v>
      </c>
      <c r="N72" s="46">
        <v>84341</v>
      </c>
      <c r="O72" s="69" t="s">
        <v>210</v>
      </c>
      <c r="P72" s="70" t="s">
        <v>209</v>
      </c>
      <c r="R72" s="47"/>
      <c r="S72" s="267"/>
      <c r="T72" s="48"/>
      <c r="U72" s="48"/>
    </row>
    <row r="73" spans="1:21" s="46" customFormat="1" x14ac:dyDescent="0.25">
      <c r="A73" s="50" t="s">
        <v>246</v>
      </c>
      <c r="B73" s="86" t="s">
        <v>27</v>
      </c>
      <c r="C73" s="87">
        <v>467038</v>
      </c>
      <c r="D73" s="88">
        <v>45108</v>
      </c>
      <c r="E73" s="88">
        <v>45473</v>
      </c>
      <c r="F73" s="42">
        <f>((D73+E73)/2)+1</f>
        <v>45291.5</v>
      </c>
      <c r="G73" s="112">
        <f>_xlfn.XLOOKUP(F73,'A-6 CMS Market Basket Index '!$AZ$3:$AZ$8,'A-6 CMS Market Basket Index '!$BF$3:$BF$8)</f>
        <v>1.0366</v>
      </c>
      <c r="H73" s="49">
        <v>211471</v>
      </c>
      <c r="I73" s="49">
        <v>683</v>
      </c>
      <c r="J73" s="80">
        <v>309.62</v>
      </c>
      <c r="K73" s="76">
        <f t="shared" si="8"/>
        <v>320.95209199999999</v>
      </c>
      <c r="L73" s="51" t="str">
        <f t="shared" si="7"/>
        <v>OL</v>
      </c>
      <c r="M73" s="90" t="s">
        <v>26</v>
      </c>
      <c r="N73" s="90">
        <v>84713</v>
      </c>
      <c r="O73" s="91" t="s">
        <v>208</v>
      </c>
      <c r="P73" s="92" t="s">
        <v>209</v>
      </c>
      <c r="Q73" s="52" t="s">
        <v>24</v>
      </c>
      <c r="R73" s="53" t="s">
        <v>25</v>
      </c>
      <c r="S73" s="267"/>
      <c r="T73" s="48"/>
      <c r="U73" s="48"/>
    </row>
    <row r="74" spans="1:21" s="52" customFormat="1" x14ac:dyDescent="0.25">
      <c r="A74" s="39" t="s">
        <v>245</v>
      </c>
      <c r="B74" s="40" t="s">
        <v>205</v>
      </c>
      <c r="C74" s="41" t="s">
        <v>206</v>
      </c>
      <c r="D74" s="42">
        <v>44927</v>
      </c>
      <c r="E74" s="42">
        <v>45291</v>
      </c>
      <c r="F74" s="42">
        <f>((D74+E74)/2)-2</f>
        <v>45107</v>
      </c>
      <c r="G74" s="112">
        <f>_xlfn.XLOOKUP(F74,'A-6 CMS Market Basket Index '!$AZ$3:$AZ$8,'A-6 CMS Market Basket Index '!$BF$3:$BF$8)</f>
        <v>1.0538000000000001</v>
      </c>
      <c r="H74" s="44">
        <v>367188</v>
      </c>
      <c r="I74" s="44">
        <v>1093</v>
      </c>
      <c r="J74" s="65">
        <v>335.95</v>
      </c>
      <c r="K74" s="76">
        <f t="shared" si="8"/>
        <v>354.02411000000001</v>
      </c>
      <c r="L74" s="51" t="str">
        <f t="shared" si="7"/>
        <v>OL</v>
      </c>
      <c r="M74" s="46" t="s">
        <v>18</v>
      </c>
      <c r="N74" s="46">
        <v>84107</v>
      </c>
      <c r="O74" s="69" t="s">
        <v>218</v>
      </c>
      <c r="P74" s="70" t="s">
        <v>209</v>
      </c>
      <c r="Q74" s="46"/>
      <c r="R74" s="47"/>
      <c r="T74" s="54"/>
      <c r="U74" s="54"/>
    </row>
    <row r="75" spans="1:21" s="52" customFormat="1" x14ac:dyDescent="0.25">
      <c r="A75" s="39" t="s">
        <v>245</v>
      </c>
      <c r="B75" s="40" t="s">
        <v>56</v>
      </c>
      <c r="C75" s="41" t="s">
        <v>184</v>
      </c>
      <c r="D75" s="42">
        <v>44927</v>
      </c>
      <c r="E75" s="42">
        <v>45291</v>
      </c>
      <c r="F75" s="42">
        <f>((D75+E75)/2)-2</f>
        <v>45107</v>
      </c>
      <c r="G75" s="112">
        <f>_xlfn.XLOOKUP(F75,'A-6 CMS Market Basket Index '!$AZ$3:$AZ$8,'A-6 CMS Market Basket Index '!$BF$3:$BF$8)</f>
        <v>1.0538000000000001</v>
      </c>
      <c r="H75" s="44">
        <v>5485870</v>
      </c>
      <c r="I75" s="44">
        <v>11759</v>
      </c>
      <c r="J75" s="65">
        <v>466.53</v>
      </c>
      <c r="K75" s="76">
        <f t="shared" si="8"/>
        <v>491.62931400000002</v>
      </c>
      <c r="L75" s="51" t="str">
        <f t="shared" si="7"/>
        <v>OL</v>
      </c>
      <c r="M75" s="46" t="s">
        <v>16</v>
      </c>
      <c r="N75" s="46">
        <v>84010</v>
      </c>
      <c r="O75" s="69" t="s">
        <v>212</v>
      </c>
      <c r="P75" s="70" t="s">
        <v>213</v>
      </c>
      <c r="Q75" s="46"/>
      <c r="R75" s="47"/>
      <c r="T75" s="54"/>
      <c r="U75" s="54"/>
    </row>
    <row r="76" spans="1:21" s="52" customFormat="1" x14ac:dyDescent="0.25">
      <c r="A76" s="39" t="s">
        <v>245</v>
      </c>
      <c r="B76" s="40" t="s">
        <v>195</v>
      </c>
      <c r="C76" s="41" t="s">
        <v>194</v>
      </c>
      <c r="D76" s="42">
        <v>44927</v>
      </c>
      <c r="E76" s="42">
        <v>45291</v>
      </c>
      <c r="F76" s="42">
        <f>((D76+E76)/2)-2</f>
        <v>45107</v>
      </c>
      <c r="G76" s="112">
        <f>_xlfn.XLOOKUP(F76,'A-6 CMS Market Basket Index '!$AZ$3:$AZ$8,'A-6 CMS Market Basket Index '!$BF$3:$BF$8)</f>
        <v>1.0538000000000001</v>
      </c>
      <c r="H76" s="44">
        <v>77904</v>
      </c>
      <c r="I76" s="44">
        <v>158</v>
      </c>
      <c r="J76" s="65">
        <v>493.06</v>
      </c>
      <c r="K76" s="76">
        <f t="shared" si="8"/>
        <v>519.58662800000002</v>
      </c>
      <c r="L76" s="51" t="str">
        <f t="shared" si="7"/>
        <v>OL</v>
      </c>
      <c r="M76" s="46" t="s">
        <v>50</v>
      </c>
      <c r="N76" s="46">
        <v>84321</v>
      </c>
      <c r="O76" s="69" t="s">
        <v>210</v>
      </c>
      <c r="P76" s="70" t="s">
        <v>209</v>
      </c>
      <c r="Q76" s="46"/>
      <c r="R76" s="47"/>
      <c r="T76" s="54"/>
      <c r="U76" s="54"/>
    </row>
    <row r="77" spans="1:21" s="52" customFormat="1" x14ac:dyDescent="0.25">
      <c r="A77" s="39" t="s">
        <v>245</v>
      </c>
      <c r="B77" s="40" t="s">
        <v>171</v>
      </c>
      <c r="C77" s="41" t="s">
        <v>172</v>
      </c>
      <c r="D77" s="42">
        <v>44927</v>
      </c>
      <c r="E77" s="42">
        <v>45291</v>
      </c>
      <c r="F77" s="42">
        <f>((D77+E77)/2)-2</f>
        <v>45107</v>
      </c>
      <c r="G77" s="112">
        <f>_xlfn.XLOOKUP(F77,'A-6 CMS Market Basket Index '!$AZ$3:$AZ$8,'A-6 CMS Market Basket Index '!$BF$3:$BF$8)</f>
        <v>1.0538000000000001</v>
      </c>
      <c r="H77" s="44"/>
      <c r="I77" s="44"/>
      <c r="J77" s="65"/>
      <c r="K77" s="76" t="str">
        <f t="shared" si="8"/>
        <v/>
      </c>
      <c r="L77" s="51"/>
      <c r="M77" s="46" t="s">
        <v>173</v>
      </c>
      <c r="N77" s="46">
        <v>84117</v>
      </c>
      <c r="O77" s="69" t="s">
        <v>218</v>
      </c>
      <c r="P77" s="70" t="s">
        <v>209</v>
      </c>
      <c r="Q77" s="46"/>
      <c r="R77" s="47"/>
      <c r="T77" s="54"/>
      <c r="U77" s="54"/>
    </row>
    <row r="78" spans="1:21" s="52" customFormat="1" x14ac:dyDescent="0.25">
      <c r="A78" s="39" t="s">
        <v>245</v>
      </c>
      <c r="B78" s="40" t="s">
        <v>174</v>
      </c>
      <c r="C78" s="41" t="s">
        <v>164</v>
      </c>
      <c r="D78" s="42">
        <v>44911</v>
      </c>
      <c r="E78" s="42">
        <v>45291</v>
      </c>
      <c r="F78" s="42">
        <f>((D78+E78)/2)+6</f>
        <v>45107</v>
      </c>
      <c r="G78" s="112">
        <f>_xlfn.XLOOKUP(F78,'A-6 CMS Market Basket Index '!$AZ$3:$AZ$8,'A-6 CMS Market Basket Index '!$BF$3:$BF$8)</f>
        <v>1.0538000000000001</v>
      </c>
      <c r="H78" s="44"/>
      <c r="I78" s="44"/>
      <c r="J78" s="65"/>
      <c r="K78" s="76" t="str">
        <f t="shared" si="8"/>
        <v/>
      </c>
      <c r="L78" s="51"/>
      <c r="M78" s="46" t="s">
        <v>112</v>
      </c>
      <c r="N78" s="46">
        <v>84043</v>
      </c>
      <c r="O78" s="69" t="s">
        <v>15</v>
      </c>
      <c r="P78" s="70" t="s">
        <v>213</v>
      </c>
      <c r="Q78" s="46"/>
      <c r="R78" s="47"/>
      <c r="T78" s="54"/>
      <c r="U78" s="54"/>
    </row>
    <row r="79" spans="1:21" s="133" customFormat="1" ht="15.75" thickBot="1" x14ac:dyDescent="0.3">
      <c r="A79" s="124" t="s">
        <v>386</v>
      </c>
      <c r="B79" s="125"/>
      <c r="C79" s="126"/>
      <c r="D79" s="127"/>
      <c r="E79" s="127"/>
      <c r="F79" s="127"/>
      <c r="G79" s="128">
        <f>AVERAGE(G6:G78)</f>
        <v>1.0526287671232879</v>
      </c>
      <c r="H79" s="129">
        <f>SUM(H6:H78)</f>
        <v>29598624</v>
      </c>
      <c r="I79" s="130">
        <f>SUM(I6:I78)</f>
        <v>375820</v>
      </c>
      <c r="J79" s="131">
        <f>H79/I79</f>
        <v>78.757447714331335</v>
      </c>
      <c r="K79" s="131">
        <f t="shared" ref="K79" si="9">J79*$G79</f>
        <v>82.902355089313403</v>
      </c>
      <c r="L79" s="132"/>
      <c r="O79" s="134"/>
      <c r="P79" s="135"/>
    </row>
    <row r="80" spans="1:21" s="46" customFormat="1" ht="15.75" thickTop="1" x14ac:dyDescent="0.25">
      <c r="A80" s="39"/>
      <c r="B80" s="40"/>
      <c r="C80" s="41"/>
      <c r="D80" s="42"/>
      <c r="E80" s="42"/>
      <c r="F80" s="42"/>
      <c r="G80" s="42"/>
      <c r="H80" s="44"/>
      <c r="I80" s="44"/>
      <c r="J80" s="65"/>
      <c r="K80" s="65"/>
      <c r="L80" s="71"/>
      <c r="O80" s="69"/>
      <c r="P80" s="70"/>
    </row>
    <row r="81" spans="1:16" s="46" customFormat="1" x14ac:dyDescent="0.25">
      <c r="A81" s="39"/>
      <c r="B81" s="40"/>
      <c r="C81" s="41"/>
      <c r="D81" s="42"/>
      <c r="E81" s="55" t="s">
        <v>247</v>
      </c>
      <c r="F81" s="42"/>
      <c r="G81" s="42"/>
      <c r="H81" s="122"/>
      <c r="I81" s="57"/>
      <c r="J81" s="57" t="s">
        <v>390</v>
      </c>
      <c r="K81" s="57"/>
      <c r="L81" s="58"/>
      <c r="O81" s="69"/>
      <c r="P81" s="70"/>
    </row>
    <row r="82" spans="1:16" s="46" customFormat="1" ht="17.25" x14ac:dyDescent="0.4">
      <c r="A82" s="39"/>
      <c r="B82" s="40"/>
      <c r="C82" s="59"/>
      <c r="D82" s="42"/>
      <c r="E82" s="42"/>
      <c r="F82" s="42"/>
      <c r="G82" s="42"/>
      <c r="H82" s="122"/>
      <c r="I82" s="61"/>
      <c r="J82" s="61" t="s">
        <v>383</v>
      </c>
      <c r="K82" s="61" t="s">
        <v>389</v>
      </c>
      <c r="L82" s="62"/>
      <c r="O82" s="69"/>
      <c r="P82" s="70"/>
    </row>
    <row r="83" spans="1:16" s="46" customFormat="1" x14ac:dyDescent="0.25">
      <c r="A83" s="39"/>
      <c r="B83" s="40"/>
      <c r="C83" s="59"/>
      <c r="D83" s="42"/>
      <c r="F83" s="42"/>
      <c r="G83" s="42" t="s">
        <v>248</v>
      </c>
      <c r="H83" s="122"/>
      <c r="I83" s="72"/>
      <c r="J83" s="72">
        <f>MIN(K$6:K$70)</f>
        <v>14.175432000000001</v>
      </c>
      <c r="K83" s="72">
        <f>MIN(K$6:K$78)</f>
        <v>14.175432000000001</v>
      </c>
      <c r="L83" s="64"/>
      <c r="O83" s="69"/>
      <c r="P83" s="70"/>
    </row>
    <row r="84" spans="1:16" s="46" customFormat="1" x14ac:dyDescent="0.25">
      <c r="A84" s="39"/>
      <c r="B84" s="40"/>
      <c r="C84" s="59"/>
      <c r="D84" s="42"/>
      <c r="F84" s="42"/>
      <c r="G84" s="42" t="s">
        <v>249</v>
      </c>
      <c r="H84" s="122"/>
      <c r="I84" s="72"/>
      <c r="J84" s="72">
        <f>MAX(K$6:K$70)</f>
        <v>156.057242</v>
      </c>
      <c r="K84" s="72">
        <f>MAX(K$6:K$78)</f>
        <v>519.58662800000002</v>
      </c>
      <c r="L84" s="64"/>
      <c r="O84" s="69"/>
      <c r="P84" s="70"/>
    </row>
    <row r="85" spans="1:16" s="46" customFormat="1" x14ac:dyDescent="0.25">
      <c r="A85" s="39"/>
      <c r="B85" s="40"/>
      <c r="C85" s="59"/>
      <c r="D85" s="42"/>
      <c r="F85" s="42"/>
      <c r="G85" s="42" t="s">
        <v>250</v>
      </c>
      <c r="H85" s="122"/>
      <c r="I85" s="72"/>
      <c r="J85" s="72" cm="1">
        <f t="array" ref="J85">ROUND(MEDIAN(IF(K$6:K$70&gt;0,K$6:K$70)),2)</f>
        <v>63.3</v>
      </c>
      <c r="K85" s="72" cm="1">
        <f t="array" ref="K85">ROUND(MEDIAN(IF(K$6:K$78&gt;0,K$6:K$78)),2)</f>
        <v>68.56</v>
      </c>
      <c r="L85" s="64"/>
      <c r="O85" s="69"/>
      <c r="P85" s="70"/>
    </row>
    <row r="86" spans="1:16" s="46" customFormat="1" x14ac:dyDescent="0.25">
      <c r="A86" s="39"/>
      <c r="B86" s="40"/>
      <c r="C86" s="59"/>
      <c r="D86" s="42"/>
      <c r="F86" s="42"/>
      <c r="G86" s="42" t="s">
        <v>251</v>
      </c>
      <c r="H86" s="122"/>
      <c r="I86" s="72"/>
      <c r="J86" s="72">
        <f>AVERAGE(K$6:K$70)</f>
        <v>66.377901353846156</v>
      </c>
      <c r="K86" s="72">
        <f>AVERAGE(K$6:K$78)</f>
        <v>90.426684338028167</v>
      </c>
      <c r="L86" s="64"/>
      <c r="O86" s="69"/>
      <c r="P86" s="70"/>
    </row>
    <row r="87" spans="1:16" s="90" customFormat="1" x14ac:dyDescent="0.25">
      <c r="A87" s="167"/>
      <c r="B87" s="168" t="s">
        <v>458</v>
      </c>
      <c r="C87" s="169"/>
      <c r="D87" s="170"/>
      <c r="E87" s="171"/>
      <c r="F87" s="170"/>
      <c r="G87" s="170" t="s">
        <v>252</v>
      </c>
      <c r="H87" s="174"/>
      <c r="I87" s="172"/>
      <c r="J87" s="173">
        <f>SUMPRODUCT(K6:K70,I6:I70)/SUM(I6:I70)</f>
        <v>67.977827101130629</v>
      </c>
      <c r="K87" s="176">
        <f>K79</f>
        <v>82.902355089313403</v>
      </c>
      <c r="L87" s="177"/>
      <c r="O87" s="91"/>
      <c r="P87" s="92"/>
    </row>
    <row r="88" spans="1:16" s="46" customFormat="1" x14ac:dyDescent="0.25">
      <c r="A88" s="39"/>
      <c r="B88" s="40"/>
      <c r="C88" s="59"/>
      <c r="F88" s="66">
        <v>0.5</v>
      </c>
      <c r="G88" s="42" t="s">
        <v>253</v>
      </c>
      <c r="H88" s="122"/>
      <c r="I88" s="72"/>
      <c r="J88" s="72">
        <f>ROUND(_xlfn.PERCENTILE.INC(K$6:K$70,$F$88),2)</f>
        <v>63.3</v>
      </c>
      <c r="K88" s="72">
        <f>ROUND(_xlfn.PERCENTILE.INC(K$6:K$78,$F$88),2)</f>
        <v>68.56</v>
      </c>
      <c r="L88" s="64"/>
      <c r="O88" s="69"/>
      <c r="P88" s="70"/>
    </row>
    <row r="89" spans="1:16" s="46" customFormat="1" x14ac:dyDescent="0.25">
      <c r="A89" s="39"/>
      <c r="B89" s="40"/>
      <c r="C89" s="41"/>
      <c r="D89" s="42"/>
      <c r="F89" s="42"/>
      <c r="G89" s="42" t="s">
        <v>387</v>
      </c>
      <c r="H89" s="43"/>
      <c r="I89" s="44"/>
      <c r="J89" s="65">
        <f>_xlfn.STDEV.P(K6:K70)</f>
        <v>32.578799399575878</v>
      </c>
      <c r="K89" s="65">
        <f>_xlfn.STDEV.P(K6:K78)</f>
        <v>92.214534049608474</v>
      </c>
      <c r="L89" s="45"/>
      <c r="O89" s="69"/>
      <c r="P89" s="70"/>
    </row>
    <row r="90" spans="1:16" x14ac:dyDescent="0.25">
      <c r="G90" s="46" t="s">
        <v>444</v>
      </c>
      <c r="H90" s="67"/>
      <c r="K90" s="65">
        <f>_xlfn.QUARTILE.INC(K6:K78,1)</f>
        <v>41.625100000000003</v>
      </c>
      <c r="L90" s="68"/>
    </row>
    <row r="91" spans="1:16" x14ac:dyDescent="0.25">
      <c r="G91" s="46" t="s">
        <v>445</v>
      </c>
      <c r="K91" s="65">
        <f>_xlfn.QUARTILE.INC(K6:K78,2)</f>
        <v>68.560228000000009</v>
      </c>
    </row>
    <row r="92" spans="1:16" x14ac:dyDescent="0.25">
      <c r="G92" s="46" t="s">
        <v>446</v>
      </c>
      <c r="K92" s="65">
        <f>_xlfn.QUARTILE.INC(K6:K78,3)</f>
        <v>94.847268999999997</v>
      </c>
    </row>
    <row r="93" spans="1:16" x14ac:dyDescent="0.25">
      <c r="G93" s="46" t="s">
        <v>447</v>
      </c>
      <c r="K93" s="65">
        <f>_xlfn.QUARTILE.INC(K6:K78,4)</f>
        <v>519.58662800000002</v>
      </c>
    </row>
    <row r="94" spans="1:16" x14ac:dyDescent="0.25">
      <c r="G94" s="46" t="s">
        <v>448</v>
      </c>
      <c r="K94" s="65">
        <f>K92-K90</f>
        <v>53.222168999999994</v>
      </c>
    </row>
    <row r="95" spans="1:16" x14ac:dyDescent="0.25">
      <c r="G95" s="46" t="s">
        <v>451</v>
      </c>
      <c r="K95" s="65">
        <f>K92+K94*1.5</f>
        <v>174.6805225</v>
      </c>
    </row>
    <row r="96" spans="1:16" x14ac:dyDescent="0.25">
      <c r="G96" s="46" t="s">
        <v>452</v>
      </c>
      <c r="J96" s="162" t="str">
        <f>IF(K96&lt;0,"Negative, no low outlier","")</f>
        <v>Negative, no low outlier</v>
      </c>
      <c r="K96" s="65">
        <f>K90-1.5*K94</f>
        <v>-38.20815349999998</v>
      </c>
    </row>
  </sheetData>
  <autoFilter ref="B4:O89" xr:uid="{00000000-0009-0000-0000-000009000000}"/>
  <sortState xmlns:xlrd2="http://schemas.microsoft.com/office/spreadsheetml/2017/richdata2" ref="A6:R78">
    <sortCondition ref="K6:K78"/>
  </sortState>
  <mergeCells count="1">
    <mergeCell ref="L2:L4"/>
  </mergeCells>
  <pageMargins left="0.7" right="0.7" top="0.75" bottom="0.75" header="0.3" footer="0.3"/>
  <pageSetup paperSize="3" scale="38" fitToHeight="0" orientation="landscape" verticalDpi="0" r:id="rId1"/>
  <rowBreaks count="1" manualBreakCount="1">
    <brk id="88" max="16383" man="1"/>
  </rowBreaks>
  <customProperties>
    <customPr name="OrphanNamesChecke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87B25-8DFD-44BB-8681-7A6382776BE4}">
  <dimension ref="B1:M22"/>
  <sheetViews>
    <sheetView workbookViewId="0">
      <selection activeCell="B18" sqref="B18:J18"/>
    </sheetView>
  </sheetViews>
  <sheetFormatPr defaultRowHeight="15" x14ac:dyDescent="0.25"/>
  <cols>
    <col min="1" max="1" width="2.5703125" style="184" customWidth="1"/>
    <col min="2" max="2" width="9.85546875" style="184" customWidth="1"/>
    <col min="3" max="3" width="43.28515625" style="184" customWidth="1"/>
    <col min="4" max="10" width="12.7109375" style="184" customWidth="1"/>
    <col min="11" max="11" width="9.140625" style="184"/>
    <col min="12" max="12" width="9.7109375" style="187" bestFit="1" customWidth="1"/>
    <col min="13" max="16384" width="9.140625" style="184"/>
  </cols>
  <sheetData>
    <row r="1" spans="2:13" ht="18.75" x14ac:dyDescent="0.3">
      <c r="B1" s="183" t="s">
        <v>414</v>
      </c>
      <c r="D1" s="185"/>
      <c r="E1" s="185"/>
      <c r="F1" s="185"/>
      <c r="G1" s="185"/>
      <c r="H1" s="185"/>
      <c r="I1" s="185"/>
      <c r="J1" s="186"/>
    </row>
    <row r="2" spans="2:13" ht="18.75" x14ac:dyDescent="0.3">
      <c r="B2" s="183" t="s">
        <v>415</v>
      </c>
      <c r="D2" s="185"/>
      <c r="E2" s="185"/>
      <c r="F2" s="185"/>
      <c r="G2" s="185"/>
      <c r="H2" s="185"/>
      <c r="I2" s="185"/>
      <c r="J2" s="186"/>
    </row>
    <row r="3" spans="2:13" ht="18.75" x14ac:dyDescent="0.3">
      <c r="B3" s="183" t="s">
        <v>435</v>
      </c>
      <c r="D3" s="185"/>
      <c r="E3" s="185"/>
      <c r="F3" s="185"/>
      <c r="G3" s="185"/>
      <c r="H3" s="185"/>
      <c r="I3" s="185"/>
      <c r="J3" s="186"/>
    </row>
    <row r="4" spans="2:13" x14ac:dyDescent="0.25">
      <c r="B4" s="188" t="s">
        <v>467</v>
      </c>
      <c r="D4" s="185"/>
      <c r="E4" s="185"/>
      <c r="F4" s="185"/>
      <c r="G4" s="185"/>
      <c r="H4" s="185"/>
      <c r="I4" s="185"/>
      <c r="J4" s="186"/>
    </row>
    <row r="5" spans="2:13" x14ac:dyDescent="0.25">
      <c r="D5" s="185"/>
      <c r="E5" s="185"/>
      <c r="F5" s="185"/>
      <c r="G5" s="185"/>
      <c r="H5" s="185"/>
      <c r="I5" s="185"/>
      <c r="J5" s="186"/>
    </row>
    <row r="6" spans="2:13" x14ac:dyDescent="0.25">
      <c r="B6" s="194"/>
      <c r="C6" s="194"/>
      <c r="D6" s="195"/>
      <c r="E6" s="215" t="s">
        <v>520</v>
      </c>
      <c r="F6" s="196"/>
      <c r="G6" s="196" t="s">
        <v>462</v>
      </c>
      <c r="H6" s="196"/>
      <c r="I6" s="196" t="s">
        <v>418</v>
      </c>
      <c r="J6" s="197"/>
    </row>
    <row r="7" spans="2:13" ht="60.75" thickBot="1" x14ac:dyDescent="0.3">
      <c r="B7" s="198" t="s">
        <v>419</v>
      </c>
      <c r="C7" s="198" t="s">
        <v>411</v>
      </c>
      <c r="D7" s="198" t="str">
        <f>'A-5 Border States'!C7</f>
        <v>Utah MCD Rate
(7/1/24)</v>
      </c>
      <c r="E7" s="271" t="s">
        <v>490</v>
      </c>
      <c r="F7" s="198" t="s">
        <v>412</v>
      </c>
      <c r="G7" s="198" t="s">
        <v>464</v>
      </c>
      <c r="H7" s="198" t="s">
        <v>463</v>
      </c>
      <c r="I7" s="198" t="s">
        <v>479</v>
      </c>
      <c r="J7" s="198" t="s">
        <v>465</v>
      </c>
    </row>
    <row r="8" spans="2:13" x14ac:dyDescent="0.25">
      <c r="B8" s="199" t="s">
        <v>395</v>
      </c>
      <c r="C8" s="200" t="s">
        <v>396</v>
      </c>
      <c r="D8" s="201">
        <v>35.770000000000003</v>
      </c>
      <c r="E8" s="216">
        <f>'A-3 Cost Coverage'!E8</f>
        <v>38.44</v>
      </c>
      <c r="F8" s="218">
        <f>D8/E8</f>
        <v>0.93054110301769</v>
      </c>
      <c r="G8" s="240">
        <f>_xlfn.XLOOKUP($B8,'A-4 MCR Rates'!$A$7:$A$14,'A-4 MCR Rates'!$D$7:$D$14)</f>
        <v>39.952500000000001</v>
      </c>
      <c r="H8" s="233">
        <f>_xlfn.XLOOKUP($B8,'A-4 MCR Rates'!$A$7:$A$14,'A-4 MCR Rates'!$E$7:$E$14)</f>
        <v>0.89531318440648278</v>
      </c>
      <c r="I8" s="201">
        <f>'A-5 Border States'!D8</f>
        <v>29.195</v>
      </c>
      <c r="J8" s="202">
        <f>D8/I8</f>
        <v>1.2252097961979791</v>
      </c>
      <c r="L8" s="264"/>
      <c r="M8" s="264"/>
    </row>
    <row r="9" spans="2:13" x14ac:dyDescent="0.25">
      <c r="B9" s="199" t="s">
        <v>397</v>
      </c>
      <c r="C9" s="200" t="s">
        <v>398</v>
      </c>
      <c r="D9" s="201">
        <v>112.83</v>
      </c>
      <c r="E9" s="190">
        <f>'A-3 Cost Coverage'!E9</f>
        <v>153.74024745066171</v>
      </c>
      <c r="F9" s="192">
        <f t="shared" ref="F9:F15" si="0">D9/E9</f>
        <v>0.73390021071879297</v>
      </c>
      <c r="G9" s="240">
        <f>_xlfn.XLOOKUP(B9,'A-4 MCR Rates'!$A$7:$A$14,'A-4 MCR Rates'!$D$7:$D$14)</f>
        <v>159.81</v>
      </c>
      <c r="H9" s="233">
        <f>_xlfn.XLOOKUP($B9,'A-4 MCR Rates'!$A$7:$A$14,'A-4 MCR Rates'!$E$7:$E$14)</f>
        <v>0.70602590576309365</v>
      </c>
      <c r="I9" s="201">
        <f>'A-5 Border States'!D9</f>
        <v>94.48299999999999</v>
      </c>
      <c r="J9" s="202">
        <f>D9/I9</f>
        <v>1.1941830805541738</v>
      </c>
      <c r="L9" s="264"/>
      <c r="M9" s="264"/>
    </row>
    <row r="10" spans="2:13" x14ac:dyDescent="0.25">
      <c r="B10" s="199" t="s">
        <v>399</v>
      </c>
      <c r="C10" s="200" t="s">
        <v>400</v>
      </c>
      <c r="D10" s="201">
        <v>117.6</v>
      </c>
      <c r="E10" s="190">
        <f>'A-3 Cost Coverage'!E10</f>
        <v>153.74024745066171</v>
      </c>
      <c r="F10" s="192">
        <f t="shared" si="0"/>
        <v>0.76492656900230471</v>
      </c>
      <c r="G10" s="240">
        <f>_xlfn.XLOOKUP(B10,'A-4 MCR Rates'!$A$7:$A$14,'A-4 MCR Rates'!$D$7:$D$14)</f>
        <v>159.81</v>
      </c>
      <c r="H10" s="233">
        <f>_xlfn.XLOOKUP($B10,'A-4 MCR Rates'!$A$7:$A$14,'A-4 MCR Rates'!$E$7:$E$14)</f>
        <v>0.73587385019710905</v>
      </c>
      <c r="I10" s="240" t="str">
        <f>'A-5 Border States'!D10</f>
        <v>N/A</v>
      </c>
      <c r="J10" s="233" t="s">
        <v>391</v>
      </c>
      <c r="L10" s="264"/>
      <c r="M10" s="264"/>
    </row>
    <row r="11" spans="2:13" x14ac:dyDescent="0.25">
      <c r="B11" s="199" t="s">
        <v>401</v>
      </c>
      <c r="C11" s="200" t="s">
        <v>402</v>
      </c>
      <c r="D11" s="201">
        <v>103.83</v>
      </c>
      <c r="E11" s="190">
        <f>'A-3 Cost Coverage'!E11</f>
        <v>147.14947028491432</v>
      </c>
      <c r="F11" s="192">
        <f t="shared" si="0"/>
        <v>0.70560906402830992</v>
      </c>
      <c r="G11" s="240">
        <f>_xlfn.XLOOKUP(B11,'A-4 MCR Rates'!$A$7:$A$14,'A-4 MCR Rates'!$D$7:$D$14)</f>
        <v>174.66</v>
      </c>
      <c r="H11" s="233">
        <f>_xlfn.XLOOKUP($B11,'A-4 MCR Rates'!$A$7:$A$14,'A-4 MCR Rates'!$E$7:$E$14)</f>
        <v>0.59446925455170041</v>
      </c>
      <c r="I11" s="201">
        <f>'A-5 Border States'!D11</f>
        <v>111.474</v>
      </c>
      <c r="J11" s="202">
        <f t="shared" ref="J11:J16" si="1">D11/I11</f>
        <v>0.93142795629474129</v>
      </c>
      <c r="L11" s="264"/>
      <c r="M11" s="264"/>
    </row>
    <row r="12" spans="2:13" x14ac:dyDescent="0.25">
      <c r="B12" s="199" t="s">
        <v>403</v>
      </c>
      <c r="C12" s="200" t="s">
        <v>404</v>
      </c>
      <c r="D12" s="201">
        <v>100.12</v>
      </c>
      <c r="E12" s="190">
        <f>'A-3 Cost Coverage'!E12</f>
        <v>167.49280690239669</v>
      </c>
      <c r="F12" s="192">
        <f t="shared" si="0"/>
        <v>0.59775701328083342</v>
      </c>
      <c r="G12" s="240">
        <f>_xlfn.XLOOKUP(B12,'A-4 MCR Rates'!$A$7:$A$14,'A-4 MCR Rates'!$D$7:$D$14)</f>
        <v>175.86</v>
      </c>
      <c r="H12" s="233">
        <f>_xlfn.XLOOKUP($B12,'A-4 MCR Rates'!$A$7:$A$14,'A-4 MCR Rates'!$E$7:$E$14)</f>
        <v>0.56931650176276583</v>
      </c>
      <c r="I12" s="201">
        <f>'A-5 Border States'!D12</f>
        <v>107.26200000000001</v>
      </c>
      <c r="J12" s="202">
        <f t="shared" si="1"/>
        <v>0.93341537543584863</v>
      </c>
      <c r="L12" s="264"/>
      <c r="M12" s="264"/>
    </row>
    <row r="13" spans="2:13" x14ac:dyDescent="0.25">
      <c r="B13" s="199" t="s">
        <v>405</v>
      </c>
      <c r="C13" s="200" t="s">
        <v>406</v>
      </c>
      <c r="D13" s="201">
        <v>98.64</v>
      </c>
      <c r="E13" s="190">
        <f>'A-3 Cost Coverage'!E13</f>
        <v>197.71602390926009</v>
      </c>
      <c r="F13" s="192">
        <f t="shared" si="0"/>
        <v>0.49889734807366903</v>
      </c>
      <c r="G13" s="240">
        <f>_xlfn.XLOOKUP(B13,'A-4 MCR Rates'!$A$7:$A$14,'A-4 MCR Rates'!$D$7:$D$14)</f>
        <v>189.85999999999999</v>
      </c>
      <c r="H13" s="233">
        <f>_xlfn.XLOOKUP($B13,'A-4 MCR Rates'!$A$7:$A$14,'A-4 MCR Rates'!$E$7:$E$14)</f>
        <v>0.51954071421047088</v>
      </c>
      <c r="I13" s="201">
        <f>'A-5 Border States'!D13</f>
        <v>122.46000000000001</v>
      </c>
      <c r="J13" s="202">
        <f t="shared" si="1"/>
        <v>0.80548750612444875</v>
      </c>
      <c r="L13" s="264"/>
      <c r="M13" s="264"/>
    </row>
    <row r="14" spans="2:13" x14ac:dyDescent="0.25">
      <c r="B14" s="199" t="s">
        <v>407</v>
      </c>
      <c r="C14" s="200" t="s">
        <v>408</v>
      </c>
      <c r="D14" s="201">
        <v>28</v>
      </c>
      <c r="E14" s="190" t="str">
        <f>'A-3 Cost Coverage'!E14</f>
        <v>N/A</v>
      </c>
      <c r="F14" s="192" t="s">
        <v>391</v>
      </c>
      <c r="G14" s="240" t="str">
        <f>_xlfn.XLOOKUP(B14,'A-4 MCR Rates'!$A$7:$A$14,'A-4 MCR Rates'!$D$7:$D$14)</f>
        <v>N/A</v>
      </c>
      <c r="H14" s="233" t="str">
        <f>_xlfn.XLOOKUP($B14,'A-4 MCR Rates'!$A$7:$A$14,'A-4 MCR Rates'!$E$7:$E$14)</f>
        <v>N/A</v>
      </c>
      <c r="I14" s="201">
        <f>'A-5 Border States'!D14</f>
        <v>40.897500000000001</v>
      </c>
      <c r="J14" s="202">
        <f t="shared" si="1"/>
        <v>0.68463842533162167</v>
      </c>
      <c r="L14" s="264"/>
      <c r="M14" s="264"/>
    </row>
    <row r="15" spans="2:13" ht="15.75" thickBot="1" x14ac:dyDescent="0.3">
      <c r="B15" s="203" t="s">
        <v>409</v>
      </c>
      <c r="C15" s="204" t="s">
        <v>410</v>
      </c>
      <c r="D15" s="201">
        <v>49.43</v>
      </c>
      <c r="E15" s="190">
        <f>'A-3 Cost Coverage'!E15</f>
        <v>67.977827101130629</v>
      </c>
      <c r="F15" s="192">
        <f t="shared" si="0"/>
        <v>0.72714886762212882</v>
      </c>
      <c r="G15" s="240">
        <f>_xlfn.XLOOKUP(B15,'A-4 MCR Rates'!$A$7:$A$14,'A-4 MCR Rates'!$D$7:$D$14)</f>
        <v>72.349999999999994</v>
      </c>
      <c r="H15" s="233">
        <f>_xlfn.XLOOKUP($B15,'A-4 MCR Rates'!$A$7:$A$14,'A-4 MCR Rates'!$E$7:$E$14)</f>
        <v>0.68320663441603324</v>
      </c>
      <c r="I15" s="205">
        <f>'A-5 Border States'!D15</f>
        <v>59.13</v>
      </c>
      <c r="J15" s="206">
        <f t="shared" si="1"/>
        <v>0.83595467613732455</v>
      </c>
      <c r="L15" s="264"/>
      <c r="M15" s="264"/>
    </row>
    <row r="16" spans="2:13" ht="15.75" thickBot="1" x14ac:dyDescent="0.3">
      <c r="B16" s="207" t="s">
        <v>421</v>
      </c>
      <c r="C16" s="208"/>
      <c r="D16" s="209">
        <f>AVERAGE(D8:D15)</f>
        <v>80.777499999999989</v>
      </c>
      <c r="E16" s="210">
        <f>AVERAGE(E8,E9,E10,E11,E12,E13,E15)</f>
        <v>132.32237472843215</v>
      </c>
      <c r="F16" s="241">
        <f>D16/E16</f>
        <v>0.61045987245755873</v>
      </c>
      <c r="G16" s="209">
        <f>AVERAGE(G8:G13,G15)</f>
        <v>138.90035714285713</v>
      </c>
      <c r="H16" s="241">
        <f>AVERAGE(H8:H13,H15)</f>
        <v>0.6719637207582364</v>
      </c>
      <c r="I16" s="209">
        <f>AVERAGE(I8:I15)</f>
        <v>80.700214285714296</v>
      </c>
      <c r="J16" s="212">
        <f t="shared" si="1"/>
        <v>1.000957689083849</v>
      </c>
    </row>
    <row r="18" spans="2:10" ht="69" customHeight="1" x14ac:dyDescent="0.25">
      <c r="B18" s="277" t="s">
        <v>521</v>
      </c>
      <c r="C18" s="277"/>
      <c r="D18" s="277"/>
      <c r="E18" s="277"/>
      <c r="F18" s="277"/>
      <c r="G18" s="277"/>
      <c r="H18" s="277"/>
      <c r="I18" s="277"/>
      <c r="J18" s="277"/>
    </row>
    <row r="22" spans="2:10" x14ac:dyDescent="0.25">
      <c r="B22" s="193" t="s">
        <v>455</v>
      </c>
    </row>
  </sheetData>
  <mergeCells count="1">
    <mergeCell ref="B18:J18"/>
  </mergeCells>
  <hyperlinks>
    <hyperlink ref="B22" r:id="rId1" xr:uid="{25B5260A-33E1-4B89-94E8-499B456055EF}"/>
  </hyperlinks>
  <pageMargins left="0.7" right="0.7" top="0.75" bottom="0.75" header="0.3" footer="0.3"/>
  <pageSetup orientation="portrait" verticalDpi="0" r:id="rId2"/>
  <customProperties>
    <customPr name="OrphanNamesChecked" r:id="rId3"/>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E0CB7-B0E6-4526-A73C-7A4F1D2600F6}">
  <dimension ref="B1:D17"/>
  <sheetViews>
    <sheetView workbookViewId="0">
      <selection activeCell="B17" sqref="B17:D17"/>
    </sheetView>
  </sheetViews>
  <sheetFormatPr defaultRowHeight="15" x14ac:dyDescent="0.25"/>
  <cols>
    <col min="1" max="1" width="2.42578125" customWidth="1"/>
    <col min="2" max="2" width="49.28515625" customWidth="1"/>
    <col min="3" max="3" width="10.5703125" customWidth="1"/>
    <col min="4" max="4" width="11.5703125" customWidth="1"/>
  </cols>
  <sheetData>
    <row r="1" spans="2:4" ht="18.75" x14ac:dyDescent="0.3">
      <c r="B1" s="183" t="s">
        <v>414</v>
      </c>
    </row>
    <row r="2" spans="2:4" ht="18.75" x14ac:dyDescent="0.3">
      <c r="B2" s="183" t="s">
        <v>415</v>
      </c>
    </row>
    <row r="3" spans="2:4" ht="18.75" x14ac:dyDescent="0.3">
      <c r="B3" s="183" t="s">
        <v>466</v>
      </c>
    </row>
    <row r="4" spans="2:4" x14ac:dyDescent="0.25">
      <c r="B4" s="188" t="s">
        <v>480</v>
      </c>
    </row>
    <row r="7" spans="2:4" ht="45.75" thickBot="1" x14ac:dyDescent="0.3">
      <c r="B7" s="198" t="s">
        <v>468</v>
      </c>
      <c r="C7" s="198" t="s">
        <v>522</v>
      </c>
      <c r="D7" s="198" t="s">
        <v>470</v>
      </c>
    </row>
    <row r="8" spans="2:4" x14ac:dyDescent="0.25">
      <c r="B8" s="200" t="s">
        <v>213</v>
      </c>
      <c r="C8" s="221">
        <f>_xlfn.XLOOKUP(B8,'A-7 SNF RN LPN'!$B$81:$B$84,'A-7 SNF RN LPN'!$C$81:$C$84,0)</f>
        <v>20</v>
      </c>
      <c r="D8" s="222"/>
    </row>
    <row r="9" spans="2:4" x14ac:dyDescent="0.25">
      <c r="B9" s="200" t="s">
        <v>209</v>
      </c>
      <c r="C9" s="221">
        <f>_xlfn.XLOOKUP(B9,'A-7 SNF RN LPN'!$B$81:$B$84,'A-7 SNF RN LPN'!$C$81:$C$84,0)</f>
        <v>53</v>
      </c>
      <c r="D9" s="222">
        <v>1.75</v>
      </c>
    </row>
    <row r="10" spans="2:4" ht="17.25" x14ac:dyDescent="0.25">
      <c r="B10" s="200" t="s">
        <v>471</v>
      </c>
      <c r="C10" s="221">
        <f>_xlfn.XLOOKUP(B10,'A-7 SNF RN LPN'!$B$81:$B$84,'A-7 SNF RN LPN'!$C$81:$C$84,0)</f>
        <v>0</v>
      </c>
      <c r="D10" s="222">
        <v>2.95</v>
      </c>
    </row>
    <row r="11" spans="2:4" ht="17.25" x14ac:dyDescent="0.25">
      <c r="B11" s="200" t="s">
        <v>472</v>
      </c>
      <c r="C11" s="221">
        <v>0</v>
      </c>
      <c r="D11" s="222">
        <v>4.08</v>
      </c>
    </row>
    <row r="12" spans="2:4" ht="32.25" x14ac:dyDescent="0.25">
      <c r="B12" s="229" t="s">
        <v>473</v>
      </c>
      <c r="C12" s="221">
        <f>_xlfn.XLOOKUP(B12,'A-7 SNF RN LPN'!$B$81:$B$84,'A-7 SNF RN LPN'!$C$81:$C$84,0)</f>
        <v>0</v>
      </c>
      <c r="D12" s="222">
        <v>7.12</v>
      </c>
    </row>
    <row r="13" spans="2:4" ht="18" thickBot="1" x14ac:dyDescent="0.3">
      <c r="B13" s="204" t="s">
        <v>474</v>
      </c>
      <c r="C13" s="224">
        <f>_xlfn.XLOOKUP(B13,'A-7 SNF RN LPN'!$B$81:$B$84,'A-7 SNF RN LPN'!$C$81:$C$84,0)</f>
        <v>0</v>
      </c>
      <c r="D13" s="223">
        <v>15.02</v>
      </c>
    </row>
    <row r="14" spans="2:4" ht="15.75" thickBot="1" x14ac:dyDescent="0.3">
      <c r="B14" s="225" t="s">
        <v>386</v>
      </c>
      <c r="C14" s="226">
        <f>SUM(C8:C13)</f>
        <v>73</v>
      </c>
      <c r="D14" s="227"/>
    </row>
    <row r="16" spans="2:4" ht="17.25" x14ac:dyDescent="0.25">
      <c r="B16" s="228" t="s">
        <v>475</v>
      </c>
    </row>
    <row r="17" spans="2:4" ht="105.75" customHeight="1" x14ac:dyDescent="0.25">
      <c r="B17" s="283" t="s">
        <v>523</v>
      </c>
      <c r="C17" s="283"/>
      <c r="D17" s="283"/>
    </row>
  </sheetData>
  <mergeCells count="1">
    <mergeCell ref="B17:D17"/>
  </mergeCells>
  <pageMargins left="0.7" right="0.7" top="0.75" bottom="0.75" header="0.3" footer="0.3"/>
  <customProperties>
    <customPr name="OrphanNamesChecked" r:id="rId1"/>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96ACF-FFD6-47E2-9439-224DC6E2EE17}">
  <dimension ref="B1:I26"/>
  <sheetViews>
    <sheetView workbookViewId="0">
      <selection activeCell="E13" sqref="E13"/>
    </sheetView>
  </sheetViews>
  <sheetFormatPr defaultRowHeight="15" x14ac:dyDescent="0.25"/>
  <cols>
    <col min="1" max="1" width="2.5703125" style="184" customWidth="1"/>
    <col min="2" max="2" width="10.28515625" style="184" customWidth="1"/>
    <col min="3" max="3" width="47.5703125" style="184" customWidth="1"/>
    <col min="4" max="4" width="10.85546875" style="184" customWidth="1"/>
    <col min="5" max="5" width="11.5703125" style="184" customWidth="1"/>
    <col min="6" max="6" width="1.5703125" style="184" customWidth="1"/>
    <col min="7" max="7" width="10.85546875" style="184" customWidth="1"/>
    <col min="8" max="8" width="9.140625" style="184"/>
    <col min="9" max="9" width="9.7109375" style="187" bestFit="1" customWidth="1"/>
    <col min="10" max="16384" width="9.140625" style="184"/>
  </cols>
  <sheetData>
    <row r="1" spans="2:9" ht="18.75" x14ac:dyDescent="0.3">
      <c r="B1" s="183" t="s">
        <v>414</v>
      </c>
      <c r="D1" s="185"/>
      <c r="E1" s="185"/>
      <c r="F1" s="185"/>
      <c r="G1" s="185"/>
    </row>
    <row r="2" spans="2:9" ht="18.75" x14ac:dyDescent="0.3">
      <c r="B2" s="183" t="s">
        <v>415</v>
      </c>
      <c r="D2" s="185"/>
      <c r="E2" s="185"/>
      <c r="F2" s="185"/>
      <c r="G2" s="185"/>
    </row>
    <row r="3" spans="2:9" ht="18.75" x14ac:dyDescent="0.3">
      <c r="B3" s="183" t="s">
        <v>477</v>
      </c>
      <c r="D3" s="185"/>
      <c r="E3" s="185"/>
      <c r="F3" s="185"/>
      <c r="G3" s="185"/>
    </row>
    <row r="4" spans="2:9" x14ac:dyDescent="0.25">
      <c r="B4" s="188" t="s">
        <v>476</v>
      </c>
      <c r="D4" s="185"/>
      <c r="E4" s="185"/>
      <c r="F4" s="185"/>
      <c r="G4" s="185"/>
    </row>
    <row r="5" spans="2:9" x14ac:dyDescent="0.25">
      <c r="D5" s="185"/>
      <c r="E5" s="185"/>
      <c r="F5" s="185"/>
      <c r="G5" s="185"/>
    </row>
    <row r="6" spans="2:9" x14ac:dyDescent="0.25">
      <c r="B6" s="194"/>
      <c r="C6" s="194"/>
      <c r="D6" s="195"/>
      <c r="E6" s="215" t="s">
        <v>238</v>
      </c>
      <c r="F6" s="215"/>
      <c r="G6" s="196"/>
    </row>
    <row r="7" spans="2:9" ht="60.75" thickBot="1" x14ac:dyDescent="0.3">
      <c r="B7" s="198" t="s">
        <v>419</v>
      </c>
      <c r="C7" s="198" t="s">
        <v>411</v>
      </c>
      <c r="D7" s="198" t="str">
        <f>'A-5 Border States'!C7</f>
        <v>Utah MCD Rate
(7/1/24)</v>
      </c>
      <c r="E7" s="275" t="s">
        <v>507</v>
      </c>
      <c r="F7" s="276"/>
      <c r="G7" s="198" t="s">
        <v>412</v>
      </c>
    </row>
    <row r="8" spans="2:9" ht="17.25" x14ac:dyDescent="0.25">
      <c r="B8" s="199" t="s">
        <v>395</v>
      </c>
      <c r="C8" s="200" t="s">
        <v>396</v>
      </c>
      <c r="D8" s="201">
        <v>35.770000000000003</v>
      </c>
      <c r="E8" s="216">
        <f>'A-7 SNF RN LPN'!$I$87</f>
        <v>38.44</v>
      </c>
      <c r="F8" s="217">
        <v>2</v>
      </c>
      <c r="G8" s="266">
        <f>D8/E8</f>
        <v>0.93054110301769</v>
      </c>
      <c r="I8" s="264"/>
    </row>
    <row r="9" spans="2:9" ht="17.25" x14ac:dyDescent="0.25">
      <c r="B9" s="199" t="s">
        <v>397</v>
      </c>
      <c r="C9" s="200" t="s">
        <v>398</v>
      </c>
      <c r="D9" s="201">
        <v>112.83</v>
      </c>
      <c r="E9" s="190">
        <f>'A-7 SNF RN LPN'!$J$87</f>
        <v>153.74024745066171</v>
      </c>
      <c r="F9" s="191"/>
      <c r="G9" s="233">
        <f t="shared" ref="G9:G15" si="0">D9/E9</f>
        <v>0.73390021071879297</v>
      </c>
      <c r="I9" s="264"/>
    </row>
    <row r="10" spans="2:9" ht="17.25" x14ac:dyDescent="0.25">
      <c r="B10" s="199" t="s">
        <v>399</v>
      </c>
      <c r="C10" s="200" t="s">
        <v>400</v>
      </c>
      <c r="D10" s="201">
        <v>117.6</v>
      </c>
      <c r="E10" s="190">
        <f>'A-7 SNF RN LPN'!$J$87</f>
        <v>153.74024745066171</v>
      </c>
      <c r="F10" s="191"/>
      <c r="G10" s="233">
        <f t="shared" si="0"/>
        <v>0.76492656900230471</v>
      </c>
      <c r="I10" s="264"/>
    </row>
    <row r="11" spans="2:9" ht="17.25" x14ac:dyDescent="0.25">
      <c r="B11" s="199" t="s">
        <v>401</v>
      </c>
      <c r="C11" s="200" t="s">
        <v>402</v>
      </c>
      <c r="D11" s="201">
        <v>103.83</v>
      </c>
      <c r="E11" s="190">
        <f>'A-8 PT'!$J$87</f>
        <v>147.14947028491432</v>
      </c>
      <c r="F11" s="191"/>
      <c r="G11" s="233">
        <f t="shared" si="0"/>
        <v>0.70560906402830992</v>
      </c>
      <c r="I11" s="264"/>
    </row>
    <row r="12" spans="2:9" ht="17.25" x14ac:dyDescent="0.25">
      <c r="B12" s="199" t="s">
        <v>403</v>
      </c>
      <c r="C12" s="200" t="s">
        <v>404</v>
      </c>
      <c r="D12" s="201">
        <v>100.12</v>
      </c>
      <c r="E12" s="190">
        <f>'A-9 OT'!$J$87</f>
        <v>167.49280690239669</v>
      </c>
      <c r="F12" s="191"/>
      <c r="G12" s="233">
        <f t="shared" si="0"/>
        <v>0.59775701328083342</v>
      </c>
      <c r="I12" s="264"/>
    </row>
    <row r="13" spans="2:9" ht="17.25" x14ac:dyDescent="0.25">
      <c r="B13" s="199" t="s">
        <v>405</v>
      </c>
      <c r="C13" s="200" t="s">
        <v>406</v>
      </c>
      <c r="D13" s="201">
        <v>98.64</v>
      </c>
      <c r="E13" s="190">
        <f>'A-10 SLP'!$J$87</f>
        <v>197.71602390926009</v>
      </c>
      <c r="F13" s="191"/>
      <c r="G13" s="233">
        <f t="shared" si="0"/>
        <v>0.49889734807366903</v>
      </c>
      <c r="I13" s="264"/>
    </row>
    <row r="14" spans="2:9" ht="17.25" x14ac:dyDescent="0.25">
      <c r="B14" s="199" t="s">
        <v>407</v>
      </c>
      <c r="C14" s="200" t="s">
        <v>408</v>
      </c>
      <c r="D14" s="201">
        <v>28</v>
      </c>
      <c r="E14" s="190" t="s">
        <v>391</v>
      </c>
      <c r="F14" s="191">
        <v>3</v>
      </c>
      <c r="G14" s="233" t="s">
        <v>391</v>
      </c>
      <c r="I14" s="264"/>
    </row>
    <row r="15" spans="2:9" ht="18" thickBot="1" x14ac:dyDescent="0.3">
      <c r="B15" s="203" t="s">
        <v>409</v>
      </c>
      <c r="C15" s="204" t="s">
        <v>410</v>
      </c>
      <c r="D15" s="201">
        <v>49.43</v>
      </c>
      <c r="E15" s="190">
        <f>'A-12 HHA'!$J$87</f>
        <v>67.977827101130629</v>
      </c>
      <c r="F15" s="191">
        <v>3</v>
      </c>
      <c r="G15" s="233">
        <f t="shared" si="0"/>
        <v>0.72714886762212882</v>
      </c>
      <c r="I15" s="264"/>
    </row>
    <row r="16" spans="2:9" ht="15.75" thickBot="1" x14ac:dyDescent="0.3">
      <c r="B16" s="207" t="s">
        <v>421</v>
      </c>
      <c r="C16" s="208"/>
      <c r="D16" s="209">
        <f>AVERAGE(D8:D15)</f>
        <v>80.777499999999989</v>
      </c>
      <c r="E16" s="210">
        <f>AVERAGE(E8,E9,E10,E11,E12,E13,E15)</f>
        <v>132.32237472843215</v>
      </c>
      <c r="F16" s="211"/>
      <c r="G16" s="241">
        <f>D16/E16</f>
        <v>0.61045987245755873</v>
      </c>
    </row>
    <row r="18" spans="2:7" ht="17.25" x14ac:dyDescent="0.25">
      <c r="B18" s="184" t="s">
        <v>504</v>
      </c>
    </row>
    <row r="19" spans="2:7" ht="16.5" x14ac:dyDescent="0.25">
      <c r="B19" s="46" t="s">
        <v>505</v>
      </c>
    </row>
    <row r="20" spans="2:7" ht="64.5" customHeight="1" x14ac:dyDescent="0.25">
      <c r="B20" s="279" t="s">
        <v>506</v>
      </c>
      <c r="C20" s="278"/>
      <c r="D20" s="278"/>
      <c r="E20" s="278"/>
      <c r="F20" s="278"/>
      <c r="G20" s="278"/>
    </row>
    <row r="21" spans="2:7" x14ac:dyDescent="0.25">
      <c r="B21" s="277"/>
      <c r="C21" s="278"/>
      <c r="D21" s="278"/>
      <c r="E21" s="278"/>
      <c r="F21" s="278"/>
      <c r="G21" s="278"/>
    </row>
    <row r="22" spans="2:7" x14ac:dyDescent="0.25">
      <c r="B22" s="277"/>
      <c r="C22" s="278"/>
      <c r="D22" s="278"/>
      <c r="E22" s="278"/>
      <c r="F22" s="278"/>
      <c r="G22" s="278"/>
    </row>
    <row r="26" spans="2:7" x14ac:dyDescent="0.25">
      <c r="B26" s="193" t="s">
        <v>455</v>
      </c>
    </row>
  </sheetData>
  <mergeCells count="4">
    <mergeCell ref="E7:F7"/>
    <mergeCell ref="B21:G21"/>
    <mergeCell ref="B22:G22"/>
    <mergeCell ref="B20:G20"/>
  </mergeCells>
  <hyperlinks>
    <hyperlink ref="B26" r:id="rId1" xr:uid="{E97B2BD4-EE3E-4317-AB6E-79144E414950}"/>
  </hyperlinks>
  <pageMargins left="0.7" right="0.7" top="0.75" bottom="0.75" header="0.3" footer="0.3"/>
  <customProperties>
    <customPr name="OrphanNamesChecke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45EBF-2815-4324-90A7-5BFBDF86F2AD}">
  <dimension ref="A1:H26"/>
  <sheetViews>
    <sheetView workbookViewId="0">
      <selection activeCell="D12" sqref="D12"/>
    </sheetView>
  </sheetViews>
  <sheetFormatPr defaultRowHeight="15" x14ac:dyDescent="0.25"/>
  <cols>
    <col min="1" max="1" width="10.28515625" customWidth="1"/>
    <col min="2" max="2" width="51.140625" customWidth="1"/>
    <col min="3" max="5" width="15" customWidth="1"/>
  </cols>
  <sheetData>
    <row r="1" spans="1:8" ht="18.75" x14ac:dyDescent="0.3">
      <c r="A1" s="136" t="str">
        <f>Cover!A1</f>
        <v>Utah Department of Health &amp; Human Services, Office of Financial Services</v>
      </c>
    </row>
    <row r="2" spans="1:8" ht="15.75" x14ac:dyDescent="0.25">
      <c r="A2" s="137" t="str">
        <f>Cover!A2</f>
        <v>Medicaid Rate Study</v>
      </c>
    </row>
    <row r="3" spans="1:8" ht="15.75" x14ac:dyDescent="0.25">
      <c r="A3" s="137" t="str">
        <f>Cover!A3</f>
        <v>2025 Home Health Agency - Exhibit A</v>
      </c>
      <c r="C3" t="s">
        <v>422</v>
      </c>
    </row>
    <row r="4" spans="1:8" x14ac:dyDescent="0.25">
      <c r="A4" s="188" t="s">
        <v>481</v>
      </c>
    </row>
    <row r="5" spans="1:8" x14ac:dyDescent="0.25">
      <c r="D5" s="215" t="s">
        <v>462</v>
      </c>
      <c r="E5" s="215"/>
    </row>
    <row r="6" spans="1:8" s="184" customFormat="1" ht="75.599999999999994" customHeight="1" x14ac:dyDescent="0.25">
      <c r="A6" s="189" t="s">
        <v>394</v>
      </c>
      <c r="B6" s="189" t="s">
        <v>411</v>
      </c>
      <c r="C6" s="231" t="s">
        <v>461</v>
      </c>
      <c r="D6" s="189" t="s">
        <v>460</v>
      </c>
      <c r="E6" s="189" t="s">
        <v>413</v>
      </c>
    </row>
    <row r="7" spans="1:8" s="184" customFormat="1" x14ac:dyDescent="0.25">
      <c r="A7" s="199" t="s">
        <v>395</v>
      </c>
      <c r="B7" s="200" t="s">
        <v>396</v>
      </c>
      <c r="C7" s="232">
        <v>35.770000000000003</v>
      </c>
      <c r="D7" s="232">
        <v>39.952500000000001</v>
      </c>
      <c r="E7" s="233">
        <f t="shared" ref="E7:E12" si="0">C7/D7</f>
        <v>0.89531318440648278</v>
      </c>
      <c r="H7" s="185"/>
    </row>
    <row r="8" spans="1:8" s="184" customFormat="1" x14ac:dyDescent="0.25">
      <c r="A8" s="199" t="s">
        <v>397</v>
      </c>
      <c r="B8" s="200" t="s">
        <v>398</v>
      </c>
      <c r="C8" s="232">
        <v>112.83</v>
      </c>
      <c r="D8" s="232">
        <v>159.81</v>
      </c>
      <c r="E8" s="233">
        <f t="shared" si="0"/>
        <v>0.70602590576309365</v>
      </c>
      <c r="H8" s="185"/>
    </row>
    <row r="9" spans="1:8" s="184" customFormat="1" x14ac:dyDescent="0.25">
      <c r="A9" s="199" t="s">
        <v>399</v>
      </c>
      <c r="B9" s="200" t="s">
        <v>400</v>
      </c>
      <c r="C9" s="232">
        <v>117.6</v>
      </c>
      <c r="D9" s="232">
        <v>159.81</v>
      </c>
      <c r="E9" s="233">
        <f t="shared" si="0"/>
        <v>0.73587385019710905</v>
      </c>
      <c r="H9" s="185"/>
    </row>
    <row r="10" spans="1:8" s="184" customFormat="1" x14ac:dyDescent="0.25">
      <c r="A10" s="199" t="s">
        <v>401</v>
      </c>
      <c r="B10" s="200" t="s">
        <v>402</v>
      </c>
      <c r="C10" s="232">
        <v>103.83</v>
      </c>
      <c r="D10" s="232">
        <v>174.66</v>
      </c>
      <c r="E10" s="233">
        <f t="shared" si="0"/>
        <v>0.59446925455170041</v>
      </c>
      <c r="H10" s="185"/>
    </row>
    <row r="11" spans="1:8" s="184" customFormat="1" x14ac:dyDescent="0.25">
      <c r="A11" s="199" t="s">
        <v>403</v>
      </c>
      <c r="B11" s="200" t="s">
        <v>404</v>
      </c>
      <c r="C11" s="232">
        <v>100.12</v>
      </c>
      <c r="D11" s="232">
        <v>175.86</v>
      </c>
      <c r="E11" s="233">
        <f t="shared" si="0"/>
        <v>0.56931650176276583</v>
      </c>
      <c r="H11" s="185"/>
    </row>
    <row r="12" spans="1:8" s="184" customFormat="1" x14ac:dyDescent="0.25">
      <c r="A12" s="199" t="s">
        <v>405</v>
      </c>
      <c r="B12" s="200" t="s">
        <v>406</v>
      </c>
      <c r="C12" s="232">
        <v>98.64</v>
      </c>
      <c r="D12" s="232">
        <v>189.85999999999999</v>
      </c>
      <c r="E12" s="233">
        <f t="shared" si="0"/>
        <v>0.51954071421047088</v>
      </c>
      <c r="H12" s="185"/>
    </row>
    <row r="13" spans="1:8" s="184" customFormat="1" x14ac:dyDescent="0.25">
      <c r="A13" s="199" t="s">
        <v>407</v>
      </c>
      <c r="B13" s="200" t="s">
        <v>408</v>
      </c>
      <c r="C13" s="232">
        <v>28</v>
      </c>
      <c r="D13" s="234" t="s">
        <v>391</v>
      </c>
      <c r="E13" s="233" t="s">
        <v>391</v>
      </c>
      <c r="H13" s="185"/>
    </row>
    <row r="14" spans="1:8" s="184" customFormat="1" x14ac:dyDescent="0.25">
      <c r="A14" s="199" t="s">
        <v>409</v>
      </c>
      <c r="B14" s="200" t="s">
        <v>410</v>
      </c>
      <c r="C14" s="232">
        <v>49.43</v>
      </c>
      <c r="D14" s="232">
        <v>72.349999999999994</v>
      </c>
      <c r="E14" s="233">
        <f>C14/D14</f>
        <v>0.68320663441603324</v>
      </c>
      <c r="H14" s="185"/>
    </row>
    <row r="15" spans="1:8" s="238" customFormat="1" x14ac:dyDescent="0.25">
      <c r="A15" s="235" t="s">
        <v>424</v>
      </c>
      <c r="B15" s="235"/>
      <c r="C15" s="236">
        <f>AVERAGE(C7:C14)</f>
        <v>80.777499999999989</v>
      </c>
      <c r="D15" s="236">
        <f>AVERAGE(D7:D12,D14)</f>
        <v>138.90035714285713</v>
      </c>
      <c r="E15" s="237">
        <f>C15/D15</f>
        <v>0.58154998058731722</v>
      </c>
    </row>
    <row r="16" spans="1:8" s="184" customFormat="1" x14ac:dyDescent="0.25"/>
    <row r="17" spans="1:1" s="184" customFormat="1" x14ac:dyDescent="0.25">
      <c r="A17" s="239"/>
    </row>
    <row r="18" spans="1:1" s="184" customFormat="1" x14ac:dyDescent="0.25">
      <c r="A18" s="239"/>
    </row>
    <row r="19" spans="1:1" s="184" customFormat="1" x14ac:dyDescent="0.25"/>
    <row r="20" spans="1:1" s="184" customFormat="1" x14ac:dyDescent="0.25"/>
    <row r="21" spans="1:1" s="184" customFormat="1" x14ac:dyDescent="0.25"/>
    <row r="22" spans="1:1" s="184" customFormat="1" x14ac:dyDescent="0.25"/>
    <row r="23" spans="1:1" s="184" customFormat="1" x14ac:dyDescent="0.25"/>
    <row r="24" spans="1:1" s="184" customFormat="1" x14ac:dyDescent="0.25"/>
    <row r="25" spans="1:1" s="184" customFormat="1" x14ac:dyDescent="0.25"/>
    <row r="26" spans="1:1" s="184" customFormat="1" x14ac:dyDescent="0.25"/>
  </sheetData>
  <pageMargins left="0.7" right="0.7" top="0.75" bottom="0.75" header="0.3" footer="0.3"/>
  <pageSetup orientation="landscape" r:id="rId1"/>
  <customProperties>
    <customPr name="OrphanNamesChecke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0CF62E-5858-4260-82B3-387A9439F474}">
  <dimension ref="A1:R24"/>
  <sheetViews>
    <sheetView workbookViewId="0">
      <selection activeCell="M23" sqref="M23"/>
    </sheetView>
  </sheetViews>
  <sheetFormatPr defaultRowHeight="15" x14ac:dyDescent="0.25"/>
  <cols>
    <col min="1" max="1" width="7.140625" style="184" customWidth="1"/>
    <col min="2" max="2" width="45.140625" style="184" customWidth="1"/>
    <col min="3" max="3" width="8.85546875" style="184" customWidth="1"/>
    <col min="4" max="4" width="11.85546875" style="184" customWidth="1"/>
    <col min="5" max="5" width="11.140625" style="184" customWidth="1"/>
    <col min="6" max="10" width="8.42578125" style="184" customWidth="1"/>
    <col min="11" max="16" width="9.140625" style="184"/>
    <col min="17" max="18" width="9.7109375" style="184" bestFit="1" customWidth="1"/>
    <col min="19" max="16384" width="9.140625" style="184"/>
  </cols>
  <sheetData>
    <row r="1" spans="1:18" ht="18.75" x14ac:dyDescent="0.3">
      <c r="A1" s="183" t="str">
        <f>Cover!A1</f>
        <v>Utah Department of Health &amp; Human Services, Office of Financial Services</v>
      </c>
    </row>
    <row r="2" spans="1:18" ht="15.75" x14ac:dyDescent="0.25">
      <c r="A2" s="242" t="str">
        <f>Cover!A2</f>
        <v>Medicaid Rate Study</v>
      </c>
    </row>
    <row r="3" spans="1:18" ht="15.75" x14ac:dyDescent="0.25">
      <c r="A3" s="242" t="str">
        <f>Cover!A3</f>
        <v>2025 Home Health Agency - Exhibit A</v>
      </c>
      <c r="C3" s="184" t="s">
        <v>422</v>
      </c>
    </row>
    <row r="4" spans="1:18" x14ac:dyDescent="0.25">
      <c r="A4" s="188" t="s">
        <v>482</v>
      </c>
    </row>
    <row r="6" spans="1:18" ht="15" customHeight="1" x14ac:dyDescent="0.25">
      <c r="D6" s="243" t="s">
        <v>423</v>
      </c>
      <c r="E6" s="244"/>
      <c r="F6" s="245" t="s">
        <v>457</v>
      </c>
      <c r="G6" s="245"/>
      <c r="H6" s="245"/>
      <c r="I6" s="245"/>
      <c r="J6" s="246"/>
    </row>
    <row r="7" spans="1:18" ht="75.599999999999994" customHeight="1" x14ac:dyDescent="0.25">
      <c r="A7" s="230" t="s">
        <v>488</v>
      </c>
      <c r="B7" s="189" t="s">
        <v>411</v>
      </c>
      <c r="C7" s="231" t="s">
        <v>489</v>
      </c>
      <c r="D7" s="231" t="s">
        <v>479</v>
      </c>
      <c r="E7" s="231" t="s">
        <v>420</v>
      </c>
      <c r="F7" s="231" t="s">
        <v>483</v>
      </c>
      <c r="G7" s="231" t="s">
        <v>484</v>
      </c>
      <c r="H7" s="231" t="s">
        <v>485</v>
      </c>
      <c r="I7" s="231" t="s">
        <v>486</v>
      </c>
      <c r="J7" s="189" t="s">
        <v>487</v>
      </c>
    </row>
    <row r="8" spans="1:18" x14ac:dyDescent="0.25">
      <c r="A8" s="199" t="s">
        <v>395</v>
      </c>
      <c r="B8" s="200" t="s">
        <v>396</v>
      </c>
      <c r="C8" s="232">
        <v>35.770000000000003</v>
      </c>
      <c r="D8" s="247">
        <f>AVERAGE(F8,I8)</f>
        <v>29.195</v>
      </c>
      <c r="E8" s="248">
        <f>C8/D8</f>
        <v>1.2252097961979791</v>
      </c>
      <c r="F8" s="249">
        <v>29.44</v>
      </c>
      <c r="G8" s="249" t="s">
        <v>391</v>
      </c>
      <c r="H8" s="249" t="s">
        <v>391</v>
      </c>
      <c r="I8" s="249">
        <v>28.950000000000003</v>
      </c>
      <c r="J8" s="249" t="s">
        <v>391</v>
      </c>
      <c r="M8" s="185"/>
    </row>
    <row r="9" spans="1:18" x14ac:dyDescent="0.25">
      <c r="A9" s="199" t="s">
        <v>397</v>
      </c>
      <c r="B9" s="200" t="s">
        <v>398</v>
      </c>
      <c r="C9" s="232">
        <v>112.83</v>
      </c>
      <c r="D9" s="247">
        <f>AVERAGE(F9,G9,H9,I9,J9)</f>
        <v>94.48299999999999</v>
      </c>
      <c r="E9" s="248">
        <f>C9/D9</f>
        <v>1.1941830805541738</v>
      </c>
      <c r="F9" s="249">
        <v>77.05</v>
      </c>
      <c r="G9" s="249">
        <v>130.85</v>
      </c>
      <c r="H9" s="249">
        <v>102.92</v>
      </c>
      <c r="I9" s="249">
        <v>79.204999999999998</v>
      </c>
      <c r="J9" s="249">
        <v>82.39</v>
      </c>
      <c r="M9" s="185"/>
    </row>
    <row r="10" spans="1:18" x14ac:dyDescent="0.25">
      <c r="A10" s="199" t="s">
        <v>399</v>
      </c>
      <c r="B10" s="200" t="s">
        <v>400</v>
      </c>
      <c r="C10" s="232">
        <v>117.6</v>
      </c>
      <c r="D10" s="250" t="s">
        <v>391</v>
      </c>
      <c r="E10" s="250" t="s">
        <v>478</v>
      </c>
      <c r="F10" s="249" t="s">
        <v>391</v>
      </c>
      <c r="G10" s="249" t="s">
        <v>391</v>
      </c>
      <c r="H10" s="249" t="s">
        <v>391</v>
      </c>
      <c r="I10" s="249" t="s">
        <v>391</v>
      </c>
      <c r="J10" s="249" t="s">
        <v>391</v>
      </c>
      <c r="M10" s="185"/>
    </row>
    <row r="11" spans="1:18" x14ac:dyDescent="0.25">
      <c r="A11" s="199" t="s">
        <v>401</v>
      </c>
      <c r="B11" s="200" t="s">
        <v>402</v>
      </c>
      <c r="C11" s="232">
        <v>103.83</v>
      </c>
      <c r="D11" s="247">
        <f>AVERAGE(F11,G11,H11,I11,J11)</f>
        <v>111.474</v>
      </c>
      <c r="E11" s="248">
        <f t="shared" ref="E11:E16" si="0">C11/D11</f>
        <v>0.93142795629474129</v>
      </c>
      <c r="F11" s="249">
        <v>138.86000000000001</v>
      </c>
      <c r="G11" s="249">
        <v>143.02000000000001</v>
      </c>
      <c r="H11" s="249">
        <v>123.22</v>
      </c>
      <c r="I11" s="249">
        <v>69.88</v>
      </c>
      <c r="J11" s="249">
        <v>82.39</v>
      </c>
      <c r="M11" s="185"/>
    </row>
    <row r="12" spans="1:18" x14ac:dyDescent="0.25">
      <c r="A12" s="199" t="s">
        <v>403</v>
      </c>
      <c r="B12" s="200" t="s">
        <v>404</v>
      </c>
      <c r="C12" s="232">
        <v>100.12</v>
      </c>
      <c r="D12" s="247">
        <f>AVERAGE(F12,G12,H12,I12,J12)</f>
        <v>107.26200000000001</v>
      </c>
      <c r="E12" s="248">
        <f t="shared" si="0"/>
        <v>0.93341537543584863</v>
      </c>
      <c r="F12" s="249">
        <v>138.86000000000001</v>
      </c>
      <c r="G12" s="249">
        <v>144.01</v>
      </c>
      <c r="H12" s="249">
        <v>101.17</v>
      </c>
      <c r="I12" s="249">
        <v>69.88</v>
      </c>
      <c r="J12" s="249">
        <v>82.39</v>
      </c>
      <c r="M12" s="185"/>
    </row>
    <row r="13" spans="1:18" x14ac:dyDescent="0.25">
      <c r="A13" s="199" t="s">
        <v>405</v>
      </c>
      <c r="B13" s="200" t="s">
        <v>406</v>
      </c>
      <c r="C13" s="232">
        <v>98.64</v>
      </c>
      <c r="D13" s="247">
        <f>AVERAGE(F13,G13,H13,I13,J13)</f>
        <v>122.46000000000001</v>
      </c>
      <c r="E13" s="248">
        <f t="shared" si="0"/>
        <v>0.80548750612444875</v>
      </c>
      <c r="F13" s="249">
        <v>138.86000000000001</v>
      </c>
      <c r="G13" s="249">
        <v>155.47999999999999</v>
      </c>
      <c r="H13" s="249">
        <v>165.69</v>
      </c>
      <c r="I13" s="249">
        <v>69.88</v>
      </c>
      <c r="J13" s="249">
        <v>82.39</v>
      </c>
      <c r="M13" s="185"/>
    </row>
    <row r="14" spans="1:18" x14ac:dyDescent="0.25">
      <c r="A14" s="199" t="s">
        <v>407</v>
      </c>
      <c r="B14" s="200" t="s">
        <v>408</v>
      </c>
      <c r="C14" s="232">
        <v>28</v>
      </c>
      <c r="D14" s="247">
        <f>AVERAGE(G14:J14)</f>
        <v>40.897500000000001</v>
      </c>
      <c r="E14" s="248">
        <f t="shared" si="0"/>
        <v>0.68463842533162167</v>
      </c>
      <c r="F14" s="249" t="s">
        <v>391</v>
      </c>
      <c r="G14" s="249">
        <v>41.45</v>
      </c>
      <c r="H14" s="249">
        <v>40</v>
      </c>
      <c r="I14" s="249">
        <v>37.78</v>
      </c>
      <c r="J14" s="249">
        <v>44.36</v>
      </c>
      <c r="M14" s="185"/>
      <c r="Q14" s="187"/>
      <c r="R14" s="187"/>
    </row>
    <row r="15" spans="1:18" x14ac:dyDescent="0.25">
      <c r="A15" s="199" t="s">
        <v>409</v>
      </c>
      <c r="B15" s="200" t="s">
        <v>410</v>
      </c>
      <c r="C15" s="232">
        <v>49.43</v>
      </c>
      <c r="D15" s="247">
        <f>AVERAGE(F15)</f>
        <v>59.13</v>
      </c>
      <c r="E15" s="248">
        <f t="shared" si="0"/>
        <v>0.83595467613732455</v>
      </c>
      <c r="F15" s="249">
        <v>59.13</v>
      </c>
      <c r="G15" s="249" t="s">
        <v>391</v>
      </c>
      <c r="H15" s="249" t="s">
        <v>391</v>
      </c>
      <c r="I15" s="249" t="s">
        <v>391</v>
      </c>
      <c r="J15" s="249" t="s">
        <v>391</v>
      </c>
      <c r="M15" s="185"/>
    </row>
    <row r="16" spans="1:18" s="238" customFormat="1" x14ac:dyDescent="0.25">
      <c r="A16" s="235" t="s">
        <v>424</v>
      </c>
      <c r="B16" s="235"/>
      <c r="C16" s="236">
        <f>AVERAGE(C8:C15)</f>
        <v>80.777499999999989</v>
      </c>
      <c r="D16" s="251">
        <f>AVERAGE(D8,D9,D11,D12,D13,D14,D15)</f>
        <v>80.700214285714296</v>
      </c>
      <c r="E16" s="252">
        <f t="shared" si="0"/>
        <v>1.000957689083849</v>
      </c>
      <c r="F16" s="251">
        <f>AVERAGE(F8,F9,F11,F12,F13,F15)</f>
        <v>97.033333333333346</v>
      </c>
      <c r="G16" s="251">
        <f>AVERAGE(G9,G11,G12,G13,G14)</f>
        <v>122.96200000000002</v>
      </c>
      <c r="H16" s="251">
        <f>AVERAGE(H9,H11,H12,H13,H14)</f>
        <v>106.6</v>
      </c>
      <c r="I16" s="251">
        <f>AVERAGE(I8,I9,I11,I12,I13,I14)</f>
        <v>59.262499999999989</v>
      </c>
      <c r="J16" s="251">
        <f>AVERAGE(J9,J11,J12,J13,J14)</f>
        <v>74.784000000000006</v>
      </c>
      <c r="K16" s="184"/>
      <c r="L16" s="184"/>
      <c r="M16" s="185"/>
      <c r="Q16" s="269"/>
      <c r="R16" s="270"/>
    </row>
    <row r="17" spans="1:10" x14ac:dyDescent="0.25">
      <c r="A17" s="253" t="s">
        <v>425</v>
      </c>
      <c r="B17" s="254"/>
      <c r="C17" s="253"/>
      <c r="D17" s="235"/>
      <c r="E17" s="255"/>
      <c r="F17" s="255">
        <f>C16/F16</f>
        <v>0.83247165922363431</v>
      </c>
      <c r="G17" s="255">
        <f>C16/G16</f>
        <v>0.65693059644442986</v>
      </c>
      <c r="H17" s="255">
        <f>C16/H16</f>
        <v>0.75776266416510318</v>
      </c>
      <c r="I17" s="255">
        <f>C16/I16</f>
        <v>1.3630457709344022</v>
      </c>
      <c r="J17" s="255">
        <f>C16/J16</f>
        <v>1.0801441484809582</v>
      </c>
    </row>
    <row r="18" spans="1:10" x14ac:dyDescent="0.25">
      <c r="E18" s="256"/>
      <c r="F18" s="256"/>
      <c r="G18" s="256"/>
      <c r="H18" s="256"/>
      <c r="I18" s="256"/>
      <c r="J18" s="256"/>
    </row>
    <row r="19" spans="1:10" x14ac:dyDescent="0.25">
      <c r="A19" s="239"/>
      <c r="E19" s="256"/>
      <c r="F19" s="256"/>
      <c r="G19" s="256"/>
      <c r="H19" s="256"/>
      <c r="I19" s="256"/>
      <c r="J19" s="256"/>
    </row>
    <row r="20" spans="1:10" x14ac:dyDescent="0.25">
      <c r="A20" s="239"/>
      <c r="E20" s="256"/>
      <c r="F20" s="256"/>
      <c r="G20" s="256"/>
      <c r="H20" s="256"/>
      <c r="I20" s="256"/>
      <c r="J20" s="256"/>
    </row>
    <row r="21" spans="1:10" x14ac:dyDescent="0.25">
      <c r="E21" s="256"/>
      <c r="F21" s="256"/>
      <c r="G21" s="256"/>
      <c r="H21" s="256"/>
      <c r="I21" s="256"/>
      <c r="J21" s="256"/>
    </row>
    <row r="22" spans="1:10" x14ac:dyDescent="0.25">
      <c r="E22" s="256"/>
      <c r="F22" s="256"/>
      <c r="G22" s="256"/>
      <c r="H22" s="256"/>
      <c r="I22" s="256"/>
      <c r="J22" s="256"/>
    </row>
    <row r="23" spans="1:10" x14ac:dyDescent="0.25">
      <c r="E23" s="256"/>
      <c r="F23" s="256"/>
      <c r="G23" s="256"/>
      <c r="H23" s="256"/>
      <c r="I23" s="256"/>
      <c r="J23" s="256"/>
    </row>
    <row r="24" spans="1:10" x14ac:dyDescent="0.25">
      <c r="E24" s="256"/>
      <c r="F24" s="256"/>
      <c r="G24" s="256"/>
      <c r="H24" s="256"/>
      <c r="I24" s="256"/>
      <c r="J24" s="256"/>
    </row>
  </sheetData>
  <phoneticPr fontId="27" type="noConversion"/>
  <pageMargins left="0.7" right="0.7" top="0.75" bottom="0.75" header="0.3" footer="0.3"/>
  <pageSetup orientation="landscape" r:id="rId1"/>
  <customProperties>
    <customPr name="OrphanNamesChecke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7913B-E10A-4FC1-9298-8A674494DD7D}">
  <dimension ref="A1:CW57"/>
  <sheetViews>
    <sheetView topLeftCell="A8" workbookViewId="0">
      <selection activeCell="AN46" sqref="AN46"/>
    </sheetView>
  </sheetViews>
  <sheetFormatPr defaultColWidth="9.140625" defaultRowHeight="15" x14ac:dyDescent="0.25"/>
  <cols>
    <col min="1" max="1" width="57.140625" style="138" customWidth="1"/>
    <col min="2" max="37" width="9.140625" style="138" hidden="1" customWidth="1"/>
    <col min="38" max="49" width="9.140625" style="138" customWidth="1"/>
    <col min="50" max="59" width="11.7109375" style="138" customWidth="1"/>
    <col min="60" max="16384" width="9.140625" style="138"/>
  </cols>
  <sheetData>
    <row r="1" spans="1:101" x14ac:dyDescent="0.25">
      <c r="AX1" s="164" t="s">
        <v>453</v>
      </c>
      <c r="AY1" s="164"/>
      <c r="AZ1" s="164"/>
      <c r="BA1" s="164"/>
      <c r="BB1" s="164"/>
      <c r="BC1" s="164"/>
      <c r="BD1" s="164"/>
      <c r="BE1" s="164"/>
      <c r="BF1" s="164"/>
      <c r="BG1" s="164"/>
    </row>
    <row r="2" spans="1:101" ht="37.5" customHeight="1" x14ac:dyDescent="0.4">
      <c r="A2" s="155" t="s">
        <v>442</v>
      </c>
      <c r="AX2" s="111" t="s">
        <v>443</v>
      </c>
      <c r="AY2" s="159" t="s">
        <v>378</v>
      </c>
      <c r="AZ2" s="111" t="s">
        <v>379</v>
      </c>
      <c r="BA2" s="111" t="s">
        <v>441</v>
      </c>
      <c r="BB2" s="111" t="s">
        <v>381</v>
      </c>
      <c r="BC2" s="111" t="s">
        <v>380</v>
      </c>
      <c r="BD2" s="111" t="s">
        <v>441</v>
      </c>
      <c r="BE2" s="111" t="s">
        <v>381</v>
      </c>
      <c r="BF2" s="280" t="s">
        <v>382</v>
      </c>
      <c r="BG2" s="280"/>
    </row>
    <row r="3" spans="1:101" x14ac:dyDescent="0.25">
      <c r="AX3" s="104">
        <v>44743</v>
      </c>
      <c r="AY3" s="88">
        <v>45107</v>
      </c>
      <c r="AZ3" s="42">
        <v>44926</v>
      </c>
      <c r="BA3" s="150" t="s">
        <v>436</v>
      </c>
      <c r="BB3" s="103">
        <f>_xlfn.XLOOKUP(BA3,$B$16:$CW$16,$B$46:$CW$46,,0)</f>
        <v>1.18</v>
      </c>
      <c r="BC3" s="104">
        <v>45657</v>
      </c>
      <c r="BD3" s="150" t="s">
        <v>426</v>
      </c>
      <c r="BE3" s="151">
        <f>_xlfn.XLOOKUP(BD3,$B$16:$CW$16,$B$46:$CW$46,,0)</f>
        <v>1.2729999999999999</v>
      </c>
      <c r="BF3" s="110">
        <f t="shared" ref="BF3:BF8" si="0">ROUND(BE3/BB3,4)</f>
        <v>1.0788</v>
      </c>
    </row>
    <row r="4" spans="1:101" x14ac:dyDescent="0.25">
      <c r="AX4" s="104">
        <v>44927</v>
      </c>
      <c r="AY4" s="88">
        <v>45291</v>
      </c>
      <c r="AZ4" s="42">
        <v>45107</v>
      </c>
      <c r="BA4" s="150" t="s">
        <v>438</v>
      </c>
      <c r="BB4" s="103">
        <f t="shared" ref="BB4:BB8" si="1">_xlfn.XLOOKUP(BA4,$B$16:$CW$16,$B$46:$CW$46,,0)</f>
        <v>1.208</v>
      </c>
      <c r="BC4" s="104">
        <v>45657</v>
      </c>
      <c r="BD4" s="150" t="s">
        <v>426</v>
      </c>
      <c r="BE4" s="151">
        <f t="shared" ref="BE4:BE8" si="2">_xlfn.XLOOKUP(BD4,$B$16:$CW$16,$B$46:$CW$46,,0)</f>
        <v>1.2729999999999999</v>
      </c>
      <c r="BF4" s="110">
        <f t="shared" si="0"/>
        <v>1.0538000000000001</v>
      </c>
      <c r="BH4" s="265"/>
    </row>
    <row r="5" spans="1:101" x14ac:dyDescent="0.25">
      <c r="AX5" s="104">
        <v>45017</v>
      </c>
      <c r="AY5" s="88">
        <v>45322</v>
      </c>
      <c r="AZ5" s="42">
        <v>45169.5</v>
      </c>
      <c r="BA5" s="150" t="s">
        <v>439</v>
      </c>
      <c r="BB5" s="103">
        <f t="shared" si="1"/>
        <v>1.2210000000000001</v>
      </c>
      <c r="BC5" s="104">
        <v>45657</v>
      </c>
      <c r="BD5" s="150" t="s">
        <v>426</v>
      </c>
      <c r="BE5" s="151">
        <f t="shared" si="2"/>
        <v>1.2729999999999999</v>
      </c>
      <c r="BF5" s="110">
        <f t="shared" si="0"/>
        <v>1.0426</v>
      </c>
    </row>
    <row r="6" spans="1:101" x14ac:dyDescent="0.25">
      <c r="AX6" s="104">
        <v>45078</v>
      </c>
      <c r="AY6" s="88">
        <v>45443</v>
      </c>
      <c r="AZ6" s="42">
        <v>45260.5</v>
      </c>
      <c r="BA6" s="150" t="s">
        <v>437</v>
      </c>
      <c r="BB6" s="103">
        <f t="shared" si="1"/>
        <v>1.228</v>
      </c>
      <c r="BC6" s="104">
        <v>45657</v>
      </c>
      <c r="BD6" s="150" t="s">
        <v>426</v>
      </c>
      <c r="BE6" s="151">
        <f t="shared" si="2"/>
        <v>1.2729999999999999</v>
      </c>
      <c r="BF6" s="110">
        <f t="shared" si="0"/>
        <v>1.0366</v>
      </c>
    </row>
    <row r="7" spans="1:101" x14ac:dyDescent="0.25">
      <c r="AX7" s="104">
        <v>45108</v>
      </c>
      <c r="AY7" s="88">
        <v>45473</v>
      </c>
      <c r="AZ7" s="42">
        <v>45291.5</v>
      </c>
      <c r="BA7" s="150" t="s">
        <v>437</v>
      </c>
      <c r="BB7" s="103">
        <f t="shared" si="1"/>
        <v>1.228</v>
      </c>
      <c r="BC7" s="104">
        <v>45657</v>
      </c>
      <c r="BD7" s="150" t="s">
        <v>426</v>
      </c>
      <c r="BE7" s="151">
        <f t="shared" si="2"/>
        <v>1.2729999999999999</v>
      </c>
      <c r="BF7" s="110">
        <f t="shared" si="0"/>
        <v>1.0366</v>
      </c>
    </row>
    <row r="8" spans="1:101" x14ac:dyDescent="0.25">
      <c r="AX8" s="104">
        <v>45292</v>
      </c>
      <c r="AY8" s="88">
        <v>45412</v>
      </c>
      <c r="AZ8" s="42">
        <v>45350</v>
      </c>
      <c r="BA8" s="150" t="s">
        <v>440</v>
      </c>
      <c r="BB8" s="103">
        <f t="shared" si="1"/>
        <v>1.244</v>
      </c>
      <c r="BC8" s="104">
        <v>45657</v>
      </c>
      <c r="BD8" s="150" t="s">
        <v>426</v>
      </c>
      <c r="BE8" s="151">
        <f t="shared" si="2"/>
        <v>1.2729999999999999</v>
      </c>
      <c r="BF8" s="110">
        <f t="shared" si="0"/>
        <v>1.0233000000000001</v>
      </c>
    </row>
    <row r="9" spans="1:101" x14ac:dyDescent="0.25">
      <c r="AX9" s="104"/>
      <c r="AY9" s="88"/>
      <c r="AZ9" s="42"/>
      <c r="BA9" s="150"/>
      <c r="BB9" s="103"/>
      <c r="BC9" s="104"/>
      <c r="BD9" s="150"/>
      <c r="BE9" s="151"/>
      <c r="BF9" s="165"/>
    </row>
    <row r="10" spans="1:101" x14ac:dyDescent="0.25">
      <c r="AX10" s="104"/>
      <c r="AY10" s="88"/>
      <c r="AZ10" s="42"/>
      <c r="BA10" s="150"/>
      <c r="BB10" s="103"/>
      <c r="BC10" s="104"/>
      <c r="BD10" s="150"/>
      <c r="BE10" s="151"/>
      <c r="BF10" s="165"/>
    </row>
    <row r="11" spans="1:101" x14ac:dyDescent="0.25">
      <c r="AX11" s="164" t="s">
        <v>454</v>
      </c>
      <c r="AY11" s="164"/>
      <c r="AZ11" s="164"/>
      <c r="BA11" s="164"/>
      <c r="BB11" s="164"/>
      <c r="BC11" s="164"/>
      <c r="BD11" s="164"/>
      <c r="BE11" s="164"/>
      <c r="BF11" s="164"/>
      <c r="BG11" s="164"/>
    </row>
    <row r="12" spans="1:101" ht="51.75" x14ac:dyDescent="0.4">
      <c r="AY12" s="159"/>
      <c r="AZ12" s="7" t="s">
        <v>456</v>
      </c>
      <c r="BA12" s="111" t="s">
        <v>441</v>
      </c>
      <c r="BB12" s="111" t="s">
        <v>381</v>
      </c>
      <c r="BC12" s="111" t="s">
        <v>380</v>
      </c>
      <c r="BD12" s="111" t="s">
        <v>441</v>
      </c>
      <c r="BE12" s="111" t="s">
        <v>381</v>
      </c>
      <c r="BF12" s="280" t="s">
        <v>382</v>
      </c>
      <c r="BG12" s="280"/>
    </row>
    <row r="13" spans="1:101" x14ac:dyDescent="0.25">
      <c r="AY13" s="88"/>
      <c r="AZ13" s="104">
        <v>43647</v>
      </c>
      <c r="BA13" s="150" t="s">
        <v>427</v>
      </c>
      <c r="BB13" s="103">
        <f>_xlfn.XLOOKUP(BA13,$B$16:$CW$16,$B$46:$CW$46,,0)</f>
        <v>1.052</v>
      </c>
      <c r="BC13" s="104">
        <f>BC8</f>
        <v>45657</v>
      </c>
      <c r="BD13" s="150" t="s">
        <v>426</v>
      </c>
      <c r="BE13" s="151">
        <f t="shared" ref="BE13" si="3">_xlfn.XLOOKUP(BD13,$B$16:$CW$16,$B$46:$CW$46,,0)</f>
        <v>1.2729999999999999</v>
      </c>
      <c r="BF13" s="166">
        <f>ROUND(BE13/BB13,6)</f>
        <v>1.2100759999999999</v>
      </c>
    </row>
    <row r="14" spans="1:101" x14ac:dyDescent="0.25">
      <c r="AX14" s="104"/>
      <c r="AY14" s="88"/>
      <c r="AZ14" s="42"/>
      <c r="BA14" s="150"/>
      <c r="BB14" s="103"/>
      <c r="BC14" s="104"/>
      <c r="BD14" s="150"/>
      <c r="BE14" s="151"/>
      <c r="BF14" s="165"/>
    </row>
    <row r="16" spans="1:101" ht="30" x14ac:dyDescent="0.25">
      <c r="A16" s="93" t="s">
        <v>262</v>
      </c>
      <c r="B16" s="139" t="str">
        <f t="shared" ref="B16:AK16" si="4">LEFT(B17,4)&amp;" "&amp;RIGHT(B17,2)</f>
        <v>2010 Q1</v>
      </c>
      <c r="C16" s="139" t="str">
        <f t="shared" si="4"/>
        <v>2010 Q2</v>
      </c>
      <c r="D16" s="139" t="str">
        <f t="shared" si="4"/>
        <v>2010 Q3</v>
      </c>
      <c r="E16" s="139" t="str">
        <f t="shared" si="4"/>
        <v>2010 Q4</v>
      </c>
      <c r="F16" s="139" t="str">
        <f t="shared" si="4"/>
        <v>2011 Q1</v>
      </c>
      <c r="G16" s="139" t="str">
        <f t="shared" si="4"/>
        <v>2011 Q2</v>
      </c>
      <c r="H16" s="139" t="str">
        <f t="shared" si="4"/>
        <v>2011 Q3</v>
      </c>
      <c r="I16" s="139" t="str">
        <f t="shared" si="4"/>
        <v>2011 Q4</v>
      </c>
      <c r="J16" s="139" t="str">
        <f t="shared" si="4"/>
        <v>2012 Q1</v>
      </c>
      <c r="K16" s="139" t="str">
        <f t="shared" si="4"/>
        <v>2012 Q2</v>
      </c>
      <c r="L16" s="139" t="str">
        <f t="shared" si="4"/>
        <v>2012 Q3</v>
      </c>
      <c r="M16" s="139" t="str">
        <f t="shared" si="4"/>
        <v>2012 Q4</v>
      </c>
      <c r="N16" s="139" t="str">
        <f t="shared" si="4"/>
        <v>2013 Q1</v>
      </c>
      <c r="O16" s="139" t="str">
        <f t="shared" si="4"/>
        <v>2013 Q2</v>
      </c>
      <c r="P16" s="139" t="str">
        <f t="shared" si="4"/>
        <v>2013 Q3</v>
      </c>
      <c r="Q16" s="139" t="str">
        <f t="shared" si="4"/>
        <v>2013 Q4</v>
      </c>
      <c r="R16" s="139" t="str">
        <f t="shared" si="4"/>
        <v>2014 Q1</v>
      </c>
      <c r="S16" s="139" t="str">
        <f t="shared" si="4"/>
        <v>2014 Q2</v>
      </c>
      <c r="T16" s="139" t="str">
        <f t="shared" si="4"/>
        <v>2014 Q3</v>
      </c>
      <c r="U16" s="139" t="str">
        <f t="shared" si="4"/>
        <v>2014 Q4</v>
      </c>
      <c r="V16" s="139" t="str">
        <f t="shared" si="4"/>
        <v>2015 Q1</v>
      </c>
      <c r="W16" s="139" t="str">
        <f t="shared" si="4"/>
        <v>2015 Q2</v>
      </c>
      <c r="X16" s="139" t="str">
        <f t="shared" si="4"/>
        <v>2015 Q3</v>
      </c>
      <c r="Y16" s="139" t="str">
        <f t="shared" si="4"/>
        <v>2015 Q4</v>
      </c>
      <c r="Z16" s="139" t="str">
        <f t="shared" si="4"/>
        <v>2016 Q1</v>
      </c>
      <c r="AA16" s="139" t="str">
        <f t="shared" si="4"/>
        <v>2016 Q2</v>
      </c>
      <c r="AB16" s="139" t="str">
        <f t="shared" si="4"/>
        <v>2016 Q3</v>
      </c>
      <c r="AC16" s="139" t="str">
        <f t="shared" si="4"/>
        <v>2016 Q4</v>
      </c>
      <c r="AD16" s="139" t="str">
        <f t="shared" si="4"/>
        <v>2017 Q1</v>
      </c>
      <c r="AE16" s="139" t="str">
        <f t="shared" si="4"/>
        <v>2017 Q2</v>
      </c>
      <c r="AF16" s="139" t="str">
        <f t="shared" si="4"/>
        <v>2017 Q3</v>
      </c>
      <c r="AG16" s="139" t="str">
        <f t="shared" si="4"/>
        <v>2017 Q4</v>
      </c>
      <c r="AH16" s="139" t="str">
        <f t="shared" si="4"/>
        <v>2018 Q1</v>
      </c>
      <c r="AI16" s="139" t="str">
        <f t="shared" si="4"/>
        <v>2018 Q2</v>
      </c>
      <c r="AJ16" s="139" t="str">
        <f t="shared" si="4"/>
        <v>2018 Q3</v>
      </c>
      <c r="AK16" s="139" t="str">
        <f t="shared" si="4"/>
        <v>2018 Q4</v>
      </c>
      <c r="AL16" s="139" t="str">
        <f>LEFT(AL17,4)&amp;" "&amp;RIGHT(AL17,2)</f>
        <v>2019 Q1</v>
      </c>
      <c r="AM16" s="139" t="str">
        <f>LEFT(AM17,4)&amp;" "&amp;RIGHT(AM17,2)</f>
        <v>2019 Q2</v>
      </c>
      <c r="AN16" s="139" t="str">
        <f>LEFT(AN17,4)&amp;" "&amp;RIGHT(AN17,2)</f>
        <v>2019 Q3</v>
      </c>
      <c r="AO16" s="139" t="str">
        <f t="shared" ref="AO16:BH16" si="5">LEFT(AO17,4)&amp;" "&amp;RIGHT(AO17,2)</f>
        <v>2019 Q4</v>
      </c>
      <c r="AP16" s="139" t="str">
        <f t="shared" si="5"/>
        <v>2020 Q1</v>
      </c>
      <c r="AQ16" s="139" t="str">
        <f t="shared" si="5"/>
        <v>2020 Q2</v>
      </c>
      <c r="AR16" s="139" t="str">
        <f t="shared" si="5"/>
        <v>2020 Q3</v>
      </c>
      <c r="AS16" s="139" t="str">
        <f t="shared" si="5"/>
        <v>2020 Q4</v>
      </c>
      <c r="AT16" s="139" t="str">
        <f t="shared" si="5"/>
        <v>2021 Q1</v>
      </c>
      <c r="AU16" s="139" t="str">
        <f t="shared" si="5"/>
        <v>2021 Q2</v>
      </c>
      <c r="AV16" s="139" t="str">
        <f t="shared" si="5"/>
        <v>2021 Q3</v>
      </c>
      <c r="AW16" s="139" t="str">
        <f t="shared" si="5"/>
        <v>2021 Q4</v>
      </c>
      <c r="AX16" s="139" t="str">
        <f t="shared" si="5"/>
        <v>2022 Q1</v>
      </c>
      <c r="AY16" s="139" t="str">
        <f t="shared" si="5"/>
        <v>2022 Q2</v>
      </c>
      <c r="AZ16" s="139" t="str">
        <f t="shared" si="5"/>
        <v>2022 Q3</v>
      </c>
      <c r="BA16" s="160" t="str">
        <f t="shared" si="5"/>
        <v>2022 Q4</v>
      </c>
      <c r="BB16" s="139" t="str">
        <f t="shared" si="5"/>
        <v>2023 Q1</v>
      </c>
      <c r="BC16" s="160" t="str">
        <f t="shared" si="5"/>
        <v>2023 Q2</v>
      </c>
      <c r="BD16" s="160" t="str">
        <f t="shared" si="5"/>
        <v>2023 Q3</v>
      </c>
      <c r="BE16" s="160" t="str">
        <f t="shared" si="5"/>
        <v>2023 Q4</v>
      </c>
      <c r="BF16" s="160" t="str">
        <f t="shared" si="5"/>
        <v>2024 Q1</v>
      </c>
      <c r="BG16" s="139" t="str">
        <f t="shared" si="5"/>
        <v>2024 Q2</v>
      </c>
      <c r="BH16" s="139" t="str">
        <f t="shared" si="5"/>
        <v>2024 Q3</v>
      </c>
      <c r="BI16" s="160" t="s">
        <v>426</v>
      </c>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row>
    <row r="17" spans="1:101" s="97" customFormat="1" ht="45" x14ac:dyDescent="0.25">
      <c r="A17" s="94" t="s">
        <v>263</v>
      </c>
      <c r="B17" s="95" t="s">
        <v>264</v>
      </c>
      <c r="C17" s="95" t="s">
        <v>265</v>
      </c>
      <c r="D17" s="95" t="s">
        <v>266</v>
      </c>
      <c r="E17" s="95" t="s">
        <v>267</v>
      </c>
      <c r="F17" s="95" t="s">
        <v>268</v>
      </c>
      <c r="G17" s="95" t="s">
        <v>269</v>
      </c>
      <c r="H17" s="95" t="s">
        <v>270</v>
      </c>
      <c r="I17" s="95" t="s">
        <v>271</v>
      </c>
      <c r="J17" s="95" t="s">
        <v>272</v>
      </c>
      <c r="K17" s="95" t="s">
        <v>273</v>
      </c>
      <c r="L17" s="95" t="s">
        <v>274</v>
      </c>
      <c r="M17" s="95" t="s">
        <v>275</v>
      </c>
      <c r="N17" s="95" t="s">
        <v>276</v>
      </c>
      <c r="O17" s="95" t="s">
        <v>277</v>
      </c>
      <c r="P17" s="95" t="s">
        <v>278</v>
      </c>
      <c r="Q17" s="95" t="s">
        <v>279</v>
      </c>
      <c r="R17" s="95" t="s">
        <v>280</v>
      </c>
      <c r="S17" s="95" t="s">
        <v>281</v>
      </c>
      <c r="T17" s="95" t="s">
        <v>282</v>
      </c>
      <c r="U17" s="95" t="s">
        <v>283</v>
      </c>
      <c r="V17" s="95" t="s">
        <v>284</v>
      </c>
      <c r="W17" s="95" t="s">
        <v>285</v>
      </c>
      <c r="X17" s="95" t="s">
        <v>286</v>
      </c>
      <c r="Y17" s="95" t="s">
        <v>287</v>
      </c>
      <c r="Z17" s="95" t="s">
        <v>288</v>
      </c>
      <c r="AA17" s="95" t="s">
        <v>289</v>
      </c>
      <c r="AB17" s="95" t="s">
        <v>290</v>
      </c>
      <c r="AC17" s="95" t="s">
        <v>291</v>
      </c>
      <c r="AD17" s="95" t="s">
        <v>292</v>
      </c>
      <c r="AE17" s="95" t="s">
        <v>293</v>
      </c>
      <c r="AF17" s="95" t="s">
        <v>294</v>
      </c>
      <c r="AG17" s="95" t="s">
        <v>295</v>
      </c>
      <c r="AH17" s="95" t="s">
        <v>296</v>
      </c>
      <c r="AI17" s="95" t="s">
        <v>297</v>
      </c>
      <c r="AJ17" s="95" t="s">
        <v>298</v>
      </c>
      <c r="AK17" s="95" t="s">
        <v>299</v>
      </c>
      <c r="AL17" s="95" t="s">
        <v>300</v>
      </c>
      <c r="AM17" s="95" t="s">
        <v>301</v>
      </c>
      <c r="AN17" s="95" t="s">
        <v>302</v>
      </c>
      <c r="AO17" s="95" t="s">
        <v>303</v>
      </c>
      <c r="AP17" s="95" t="s">
        <v>304</v>
      </c>
      <c r="AQ17" s="95" t="s">
        <v>305</v>
      </c>
      <c r="AR17" s="95" t="s">
        <v>306</v>
      </c>
      <c r="AS17" s="95" t="s">
        <v>307</v>
      </c>
      <c r="AT17" s="95" t="s">
        <v>308</v>
      </c>
      <c r="AU17" s="95" t="s">
        <v>309</v>
      </c>
      <c r="AV17" s="95" t="s">
        <v>310</v>
      </c>
      <c r="AW17" s="95" t="s">
        <v>311</v>
      </c>
      <c r="AX17" s="95" t="s">
        <v>312</v>
      </c>
      <c r="AY17" s="95" t="s">
        <v>313</v>
      </c>
      <c r="AZ17" s="95" t="s">
        <v>314</v>
      </c>
      <c r="BA17" s="95" t="s">
        <v>315</v>
      </c>
      <c r="BB17" s="95" t="s">
        <v>316</v>
      </c>
      <c r="BC17" s="95" t="s">
        <v>317</v>
      </c>
      <c r="BD17" s="95" t="s">
        <v>318</v>
      </c>
      <c r="BE17" s="95" t="s">
        <v>319</v>
      </c>
      <c r="BF17" s="95" t="s">
        <v>320</v>
      </c>
      <c r="BG17" s="95" t="s">
        <v>428</v>
      </c>
      <c r="BH17" s="95" t="s">
        <v>429</v>
      </c>
      <c r="BI17" s="95" t="s">
        <v>321</v>
      </c>
      <c r="BJ17" s="95" t="s">
        <v>322</v>
      </c>
      <c r="BK17" s="95" t="s">
        <v>323</v>
      </c>
      <c r="BL17" s="95" t="s">
        <v>324</v>
      </c>
      <c r="BM17" s="95" t="s">
        <v>325</v>
      </c>
      <c r="BN17" s="95" t="s">
        <v>326</v>
      </c>
      <c r="BO17" s="95" t="s">
        <v>327</v>
      </c>
      <c r="BP17" s="95" t="s">
        <v>328</v>
      </c>
      <c r="BQ17" s="95" t="s">
        <v>329</v>
      </c>
      <c r="BR17" s="95" t="s">
        <v>330</v>
      </c>
      <c r="BS17" s="95" t="s">
        <v>331</v>
      </c>
      <c r="BT17" s="95" t="s">
        <v>332</v>
      </c>
      <c r="BU17" s="95" t="s">
        <v>333</v>
      </c>
      <c r="BV17" s="95" t="s">
        <v>334</v>
      </c>
      <c r="BW17" s="95" t="s">
        <v>335</v>
      </c>
      <c r="BX17" s="95" t="s">
        <v>336</v>
      </c>
      <c r="BY17" s="95" t="s">
        <v>337</v>
      </c>
      <c r="BZ17" s="95" t="s">
        <v>338</v>
      </c>
      <c r="CA17" s="95" t="s">
        <v>339</v>
      </c>
      <c r="CB17" s="95" t="s">
        <v>340</v>
      </c>
      <c r="CC17" s="95" t="s">
        <v>341</v>
      </c>
      <c r="CD17" s="95" t="s">
        <v>342</v>
      </c>
      <c r="CE17" s="95" t="s">
        <v>343</v>
      </c>
      <c r="CF17" s="95" t="s">
        <v>344</v>
      </c>
      <c r="CG17" s="95" t="s">
        <v>345</v>
      </c>
      <c r="CH17" s="95" t="s">
        <v>346</v>
      </c>
      <c r="CI17" s="95" t="s">
        <v>347</v>
      </c>
      <c r="CJ17" s="95" t="s">
        <v>348</v>
      </c>
      <c r="CK17" s="95" t="s">
        <v>349</v>
      </c>
      <c r="CL17" s="95" t="s">
        <v>350</v>
      </c>
      <c r="CM17" s="95" t="s">
        <v>351</v>
      </c>
      <c r="CN17" s="95" t="s">
        <v>352</v>
      </c>
      <c r="CO17" s="95" t="s">
        <v>353</v>
      </c>
      <c r="CP17" s="95" t="s">
        <v>354</v>
      </c>
      <c r="CQ17" s="95" t="s">
        <v>355</v>
      </c>
      <c r="CR17" s="95" t="s">
        <v>356</v>
      </c>
      <c r="CS17" s="95" t="s">
        <v>357</v>
      </c>
      <c r="CT17" s="95" t="s">
        <v>358</v>
      </c>
      <c r="CU17" s="95" t="s">
        <v>359</v>
      </c>
      <c r="CV17" s="95" t="s">
        <v>360</v>
      </c>
      <c r="CW17" s="96" t="s">
        <v>361</v>
      </c>
    </row>
    <row r="18" spans="1:101" x14ac:dyDescent="0.25">
      <c r="A18" s="98" t="s">
        <v>362</v>
      </c>
      <c r="CW18" s="140"/>
    </row>
    <row r="19" spans="1:101" x14ac:dyDescent="0.25">
      <c r="A19" s="99" t="s">
        <v>363</v>
      </c>
      <c r="B19" s="141">
        <v>0.84699999999999998</v>
      </c>
      <c r="C19" s="141">
        <v>0.85099999999999998</v>
      </c>
      <c r="D19" s="141">
        <v>0.85599999999999998</v>
      </c>
      <c r="E19" s="141">
        <v>0.85899999999999999</v>
      </c>
      <c r="F19" s="141">
        <v>0.86699999999999999</v>
      </c>
      <c r="G19" s="141">
        <v>0.873</v>
      </c>
      <c r="H19" s="141">
        <v>0.877</v>
      </c>
      <c r="I19" s="141">
        <v>0.879</v>
      </c>
      <c r="J19" s="141">
        <v>0.88600000000000001</v>
      </c>
      <c r="K19" s="141">
        <v>0.88900000000000001</v>
      </c>
      <c r="L19" s="141">
        <v>0.89400000000000002</v>
      </c>
      <c r="M19" s="141">
        <v>0.89600000000000002</v>
      </c>
      <c r="N19" s="141">
        <v>0.90300000000000002</v>
      </c>
      <c r="O19" s="141">
        <v>0.90700000000000003</v>
      </c>
      <c r="P19" s="141">
        <v>0.91200000000000003</v>
      </c>
      <c r="Q19" s="141">
        <v>0.91100000000000003</v>
      </c>
      <c r="R19" s="141">
        <v>0.91800000000000004</v>
      </c>
      <c r="S19" s="141">
        <v>0.92400000000000004</v>
      </c>
      <c r="T19" s="141">
        <v>0.92800000000000005</v>
      </c>
      <c r="U19" s="141">
        <v>0.92900000000000005</v>
      </c>
      <c r="V19" s="141">
        <v>0.93300000000000005</v>
      </c>
      <c r="W19" s="141">
        <v>0.93799999999999994</v>
      </c>
      <c r="X19" s="141">
        <v>0.94299999999999995</v>
      </c>
      <c r="Y19" s="141">
        <v>0.94299999999999995</v>
      </c>
      <c r="Z19" s="141">
        <v>0.94899999999999995</v>
      </c>
      <c r="AA19" s="141">
        <v>0.95599999999999996</v>
      </c>
      <c r="AB19" s="141">
        <v>0.96199999999999997</v>
      </c>
      <c r="AC19" s="141">
        <v>0.96599999999999997</v>
      </c>
      <c r="AD19" s="141">
        <v>0.97399999999999998</v>
      </c>
      <c r="AE19" s="141">
        <v>0.97899999999999998</v>
      </c>
      <c r="AF19" s="141">
        <v>0.98499999999999999</v>
      </c>
      <c r="AG19" s="141">
        <v>0.98799999999999999</v>
      </c>
      <c r="AH19" s="141">
        <v>0.998</v>
      </c>
      <c r="AI19" s="141">
        <v>1.004</v>
      </c>
      <c r="AJ19" s="141">
        <v>1.0089999999999999</v>
      </c>
      <c r="AK19" s="141">
        <v>1.0149999999999999</v>
      </c>
      <c r="AL19" s="141">
        <v>1.0209999999999999</v>
      </c>
      <c r="AM19" s="141">
        <v>1.0269999999999999</v>
      </c>
      <c r="AN19" s="141">
        <v>1.032</v>
      </c>
      <c r="AO19" s="141">
        <v>1.036</v>
      </c>
      <c r="AP19" s="141">
        <v>1.0429999999999999</v>
      </c>
      <c r="AQ19" s="141">
        <v>1.046</v>
      </c>
      <c r="AR19" s="141">
        <v>1.052</v>
      </c>
      <c r="AS19" s="141">
        <v>1.0569999999999999</v>
      </c>
      <c r="AT19" s="141">
        <v>1.07</v>
      </c>
      <c r="AU19" s="141">
        <v>1.081</v>
      </c>
      <c r="AV19" s="141">
        <v>1.0940000000000001</v>
      </c>
      <c r="AW19" s="141">
        <v>1.109</v>
      </c>
      <c r="AX19" s="141">
        <v>1.1279999999999999</v>
      </c>
      <c r="AY19" s="141">
        <v>1.147</v>
      </c>
      <c r="AZ19" s="141">
        <v>1.1619999999999999</v>
      </c>
      <c r="BA19" s="141">
        <v>1.1719999999999999</v>
      </c>
      <c r="BB19" s="141">
        <v>1.1879999999999999</v>
      </c>
      <c r="BC19" s="141">
        <v>1.196</v>
      </c>
      <c r="BD19" s="141">
        <v>1.2090000000000001</v>
      </c>
      <c r="BE19" s="141">
        <v>1.216</v>
      </c>
      <c r="BF19" s="141">
        <v>1.2310000000000001</v>
      </c>
      <c r="BG19" s="141">
        <v>1.2410000000000001</v>
      </c>
      <c r="BH19" s="141">
        <v>1.2509999999999999</v>
      </c>
      <c r="BI19" s="141">
        <v>1.2589999999999999</v>
      </c>
      <c r="BJ19" s="141">
        <v>1.2729999999999999</v>
      </c>
      <c r="BK19" s="141">
        <v>1.2829999999999999</v>
      </c>
      <c r="BL19" s="141">
        <v>1.2949999999999999</v>
      </c>
      <c r="BM19" s="141">
        <v>1.302</v>
      </c>
      <c r="BN19" s="141">
        <v>1.3160000000000001</v>
      </c>
      <c r="BO19" s="141">
        <v>1.325</v>
      </c>
      <c r="BP19" s="141">
        <v>1.335</v>
      </c>
      <c r="BQ19" s="141">
        <v>1.3420000000000001</v>
      </c>
      <c r="BR19" s="141">
        <v>1.357</v>
      </c>
      <c r="BS19" s="141">
        <v>1.365</v>
      </c>
      <c r="BT19" s="141">
        <v>1.375</v>
      </c>
      <c r="BU19" s="141">
        <v>1.3819999999999999</v>
      </c>
      <c r="BV19" s="141">
        <v>1.3959999999999999</v>
      </c>
      <c r="BW19" s="141">
        <v>1.405</v>
      </c>
      <c r="BX19" s="141">
        <v>1.4159999999999999</v>
      </c>
      <c r="BY19" s="141">
        <v>1.423</v>
      </c>
      <c r="BZ19" s="141">
        <v>1.4379999999999999</v>
      </c>
      <c r="CA19" s="141">
        <v>1.4470000000000001</v>
      </c>
      <c r="CB19" s="141">
        <v>1.458</v>
      </c>
      <c r="CC19" s="141">
        <v>1.4650000000000001</v>
      </c>
      <c r="CD19" s="141">
        <v>1.4790000000000001</v>
      </c>
      <c r="CE19" s="141">
        <v>1.4890000000000001</v>
      </c>
      <c r="CF19" s="141">
        <v>1.5009999999999999</v>
      </c>
      <c r="CG19" s="141">
        <v>1.508</v>
      </c>
      <c r="CH19" s="141">
        <v>1.522</v>
      </c>
      <c r="CI19" s="141">
        <v>1.532</v>
      </c>
      <c r="CJ19" s="141">
        <v>1.544</v>
      </c>
      <c r="CK19" s="141">
        <v>1.5509999999999999</v>
      </c>
      <c r="CL19" s="141">
        <v>1.5660000000000001</v>
      </c>
      <c r="CM19" s="141">
        <v>1.5760000000000001</v>
      </c>
      <c r="CN19" s="141">
        <v>1.589</v>
      </c>
      <c r="CO19" s="141">
        <v>1.5960000000000001</v>
      </c>
      <c r="CP19" s="141">
        <v>1.611</v>
      </c>
      <c r="CQ19" s="141">
        <v>1.621</v>
      </c>
      <c r="CR19" s="141">
        <v>1.633</v>
      </c>
      <c r="CS19" s="141">
        <v>1.641</v>
      </c>
      <c r="CT19" s="141">
        <v>1.6559999999999999</v>
      </c>
      <c r="CU19" s="141">
        <v>1.667</v>
      </c>
      <c r="CV19" s="141">
        <v>1.68</v>
      </c>
      <c r="CW19" s="142">
        <v>1.6870000000000001</v>
      </c>
    </row>
    <row r="20" spans="1:101" x14ac:dyDescent="0.25">
      <c r="A20" s="99" t="s">
        <v>364</v>
      </c>
      <c r="B20" s="143">
        <v>1.8</v>
      </c>
      <c r="C20" s="143">
        <v>1.9</v>
      </c>
      <c r="D20" s="143">
        <v>2.2000000000000002</v>
      </c>
      <c r="E20" s="143">
        <v>2.2999999999999998</v>
      </c>
      <c r="F20" s="143">
        <v>2.2999999999999998</v>
      </c>
      <c r="G20" s="143">
        <v>2.4</v>
      </c>
      <c r="H20" s="143">
        <v>2.4</v>
      </c>
      <c r="I20" s="143">
        <v>2.4</v>
      </c>
      <c r="J20" s="143">
        <v>2.4</v>
      </c>
      <c r="K20" s="143">
        <v>2.2000000000000002</v>
      </c>
      <c r="L20" s="143">
        <v>2</v>
      </c>
      <c r="M20" s="143">
        <v>1.9</v>
      </c>
      <c r="N20" s="143">
        <v>1.9</v>
      </c>
      <c r="O20" s="143">
        <v>2</v>
      </c>
      <c r="P20" s="143">
        <v>2</v>
      </c>
      <c r="Q20" s="143">
        <v>1.9</v>
      </c>
      <c r="R20" s="143">
        <v>1.9</v>
      </c>
      <c r="S20" s="143">
        <v>1.8</v>
      </c>
      <c r="T20" s="143">
        <v>1.8</v>
      </c>
      <c r="U20" s="143">
        <v>1.8</v>
      </c>
      <c r="V20" s="143">
        <v>1.8</v>
      </c>
      <c r="W20" s="143">
        <v>1.7</v>
      </c>
      <c r="X20" s="143">
        <v>1.7</v>
      </c>
      <c r="Y20" s="143">
        <v>1.6</v>
      </c>
      <c r="Z20" s="143">
        <v>1.6</v>
      </c>
      <c r="AA20" s="143">
        <v>1.7</v>
      </c>
      <c r="AB20" s="143">
        <v>1.8</v>
      </c>
      <c r="AC20" s="143">
        <v>2</v>
      </c>
      <c r="AD20" s="143">
        <v>2.2000000000000002</v>
      </c>
      <c r="AE20" s="143">
        <v>2.4</v>
      </c>
      <c r="AF20" s="143">
        <v>2.5</v>
      </c>
      <c r="AG20" s="143">
        <v>2.5</v>
      </c>
      <c r="AH20" s="143">
        <v>2.4</v>
      </c>
      <c r="AI20" s="143">
        <v>2.4</v>
      </c>
      <c r="AJ20" s="143">
        <v>2.5</v>
      </c>
      <c r="AK20" s="143">
        <v>2.5</v>
      </c>
      <c r="AL20" s="143">
        <v>2.5</v>
      </c>
      <c r="AM20" s="143">
        <v>2.4</v>
      </c>
      <c r="AN20" s="143">
        <v>2.4</v>
      </c>
      <c r="AO20" s="143">
        <v>2.2000000000000002</v>
      </c>
      <c r="AP20" s="143">
        <v>2.2000000000000002</v>
      </c>
      <c r="AQ20" s="143">
        <v>2.1</v>
      </c>
      <c r="AR20" s="143">
        <v>2</v>
      </c>
      <c r="AS20" s="143">
        <v>2</v>
      </c>
      <c r="AT20" s="143">
        <v>2.1</v>
      </c>
      <c r="AU20" s="143">
        <v>2.5</v>
      </c>
      <c r="AV20" s="143">
        <v>3</v>
      </c>
      <c r="AW20" s="143">
        <v>3.7</v>
      </c>
      <c r="AX20" s="143">
        <v>4.4000000000000004</v>
      </c>
      <c r="AY20" s="143">
        <v>5.0999999999999996</v>
      </c>
      <c r="AZ20" s="143">
        <v>5.7</v>
      </c>
      <c r="BA20" s="143">
        <v>5.9</v>
      </c>
      <c r="BB20" s="143">
        <v>5.8</v>
      </c>
      <c r="BC20" s="143">
        <v>5.3</v>
      </c>
      <c r="BD20" s="143">
        <v>4.8</v>
      </c>
      <c r="BE20" s="143">
        <v>4.3</v>
      </c>
      <c r="BF20" s="143">
        <v>3.9</v>
      </c>
      <c r="BG20" s="143">
        <v>3.8</v>
      </c>
      <c r="BH20" s="143">
        <v>3.6</v>
      </c>
      <c r="BI20" s="143">
        <v>3.6</v>
      </c>
      <c r="BJ20" s="143">
        <v>3.5</v>
      </c>
      <c r="BK20" s="143">
        <v>3.5</v>
      </c>
      <c r="BL20" s="143">
        <v>3.4</v>
      </c>
      <c r="BM20" s="143">
        <v>3.4</v>
      </c>
      <c r="BN20" s="143">
        <v>3.4</v>
      </c>
      <c r="BO20" s="143">
        <v>3.4</v>
      </c>
      <c r="BP20" s="143">
        <v>3.3</v>
      </c>
      <c r="BQ20" s="143">
        <v>3.2</v>
      </c>
      <c r="BR20" s="143">
        <v>3.1</v>
      </c>
      <c r="BS20" s="143">
        <v>3.1</v>
      </c>
      <c r="BT20" s="143">
        <v>3.1</v>
      </c>
      <c r="BU20" s="143">
        <v>3</v>
      </c>
      <c r="BV20" s="143">
        <v>3</v>
      </c>
      <c r="BW20" s="143">
        <v>3</v>
      </c>
      <c r="BX20" s="143">
        <v>2.9</v>
      </c>
      <c r="BY20" s="143">
        <v>3</v>
      </c>
      <c r="BZ20" s="143">
        <v>3</v>
      </c>
      <c r="CA20" s="143">
        <v>3</v>
      </c>
      <c r="CB20" s="143">
        <v>3</v>
      </c>
      <c r="CC20" s="143">
        <v>3</v>
      </c>
      <c r="CD20" s="143">
        <v>2.9</v>
      </c>
      <c r="CE20" s="143">
        <v>2.9</v>
      </c>
      <c r="CF20" s="143">
        <v>2.9</v>
      </c>
      <c r="CG20" s="143">
        <v>2.9</v>
      </c>
      <c r="CH20" s="143">
        <v>2.9</v>
      </c>
      <c r="CI20" s="143">
        <v>2.9</v>
      </c>
      <c r="CJ20" s="143">
        <v>2.9</v>
      </c>
      <c r="CK20" s="143">
        <v>2.9</v>
      </c>
      <c r="CL20" s="143">
        <v>2.9</v>
      </c>
      <c r="CM20" s="143">
        <v>2.9</v>
      </c>
      <c r="CN20" s="143">
        <v>2.9</v>
      </c>
      <c r="CO20" s="143">
        <v>2.9</v>
      </c>
      <c r="CP20" s="143">
        <v>2.8</v>
      </c>
      <c r="CQ20" s="143">
        <v>2.8</v>
      </c>
      <c r="CR20" s="143">
        <v>2.8</v>
      </c>
      <c r="CS20" s="143">
        <v>2.8</v>
      </c>
      <c r="CT20" s="143">
        <v>2.8</v>
      </c>
      <c r="CU20" s="143">
        <v>2.8</v>
      </c>
      <c r="CV20" s="143">
        <v>2.8</v>
      </c>
      <c r="CW20" s="144">
        <v>2.8</v>
      </c>
    </row>
    <row r="21" spans="1:101" x14ac:dyDescent="0.25">
      <c r="A21" s="98" t="s">
        <v>365</v>
      </c>
      <c r="CW21" s="140"/>
    </row>
    <row r="22" spans="1:101" x14ac:dyDescent="0.25">
      <c r="A22" s="99" t="s">
        <v>363</v>
      </c>
      <c r="B22" s="141">
        <v>0.92400000000000004</v>
      </c>
      <c r="C22" s="141">
        <v>0.92800000000000005</v>
      </c>
      <c r="D22" s="141">
        <v>0.92800000000000005</v>
      </c>
      <c r="E22" s="141">
        <v>0.93100000000000005</v>
      </c>
      <c r="F22" s="141">
        <v>0.93200000000000005</v>
      </c>
      <c r="G22" s="141">
        <v>0.93500000000000005</v>
      </c>
      <c r="H22" s="141">
        <v>0.93400000000000005</v>
      </c>
      <c r="I22" s="141">
        <v>0.93700000000000006</v>
      </c>
      <c r="J22" s="141">
        <v>0.93799999999999994</v>
      </c>
      <c r="K22" s="141">
        <v>0.94199999999999995</v>
      </c>
      <c r="L22" s="141">
        <v>0.94099999999999995</v>
      </c>
      <c r="M22" s="141">
        <v>0.94399999999999995</v>
      </c>
      <c r="N22" s="141">
        <v>0.94699999999999995</v>
      </c>
      <c r="O22" s="141">
        <v>0.95099999999999996</v>
      </c>
      <c r="P22" s="141">
        <v>0.95199999999999996</v>
      </c>
      <c r="Q22" s="141">
        <v>0.95499999999999996</v>
      </c>
      <c r="R22" s="141">
        <v>0.95799999999999996</v>
      </c>
      <c r="S22" s="141">
        <v>0.96199999999999997</v>
      </c>
      <c r="T22" s="141">
        <v>0.96299999999999997</v>
      </c>
      <c r="U22" s="141">
        <v>0.96499999999999997</v>
      </c>
      <c r="V22" s="141">
        <v>0.96799999999999997</v>
      </c>
      <c r="W22" s="141">
        <v>0.97099999999999997</v>
      </c>
      <c r="X22" s="141">
        <v>0.97299999999999998</v>
      </c>
      <c r="Y22" s="141">
        <v>0.97499999999999998</v>
      </c>
      <c r="Z22" s="141">
        <v>0.97699999999999998</v>
      </c>
      <c r="AA22" s="141">
        <v>0.98099999999999998</v>
      </c>
      <c r="AB22" s="141">
        <v>0.98099999999999998</v>
      </c>
      <c r="AC22" s="141">
        <v>0.98499999999999999</v>
      </c>
      <c r="AD22" s="141">
        <v>0.98799999999999999</v>
      </c>
      <c r="AE22" s="141">
        <v>0.99099999999999999</v>
      </c>
      <c r="AF22" s="141">
        <v>0.99199999999999999</v>
      </c>
      <c r="AG22" s="141">
        <v>0.996</v>
      </c>
      <c r="AH22" s="141">
        <v>0.999</v>
      </c>
      <c r="AI22" s="141">
        <v>1.002</v>
      </c>
      <c r="AJ22" s="141">
        <v>1.004</v>
      </c>
      <c r="AK22" s="141">
        <v>1.0089999999999999</v>
      </c>
      <c r="AL22" s="141">
        <v>1.012</v>
      </c>
      <c r="AM22" s="141">
        <v>1.0149999999999999</v>
      </c>
      <c r="AN22" s="141">
        <v>1.016</v>
      </c>
      <c r="AO22" s="141">
        <v>1.0209999999999999</v>
      </c>
      <c r="AP22" s="141">
        <v>1.0249999999999999</v>
      </c>
      <c r="AQ22" s="141">
        <v>1.0269999999999999</v>
      </c>
      <c r="AR22" s="141">
        <v>1.026</v>
      </c>
      <c r="AS22" s="141">
        <v>1.03</v>
      </c>
      <c r="AT22" s="141">
        <v>1.0349999999999999</v>
      </c>
      <c r="AU22" s="141">
        <v>1.0369999999999999</v>
      </c>
      <c r="AV22" s="141">
        <v>1.0369999999999999</v>
      </c>
      <c r="AW22" s="141">
        <v>1.044</v>
      </c>
      <c r="AX22" s="141">
        <v>1.052</v>
      </c>
      <c r="AY22" s="141">
        <v>1.06</v>
      </c>
      <c r="AZ22" s="141">
        <v>1.0640000000000001</v>
      </c>
      <c r="BA22" s="141">
        <v>1.075</v>
      </c>
      <c r="BB22" s="141">
        <v>1.0840000000000001</v>
      </c>
      <c r="BC22" s="141">
        <v>1.091</v>
      </c>
      <c r="BD22" s="141">
        <v>1.0960000000000001</v>
      </c>
      <c r="BE22" s="141">
        <v>1.1060000000000001</v>
      </c>
      <c r="BF22" s="141">
        <v>1.1140000000000001</v>
      </c>
      <c r="BG22" s="141">
        <v>1.1220000000000001</v>
      </c>
      <c r="BH22" s="141">
        <v>1.1259999999999999</v>
      </c>
      <c r="BI22" s="141">
        <v>1.1359999999999999</v>
      </c>
      <c r="BJ22" s="141">
        <v>1.1439999999999999</v>
      </c>
      <c r="BK22" s="141">
        <v>1.1519999999999999</v>
      </c>
      <c r="BL22" s="141">
        <v>1.157</v>
      </c>
      <c r="BM22" s="141">
        <v>1.167</v>
      </c>
      <c r="BN22" s="141">
        <v>1.175</v>
      </c>
      <c r="BO22" s="141">
        <v>1.1830000000000001</v>
      </c>
      <c r="BP22" s="141">
        <v>1.1870000000000001</v>
      </c>
      <c r="BQ22" s="141">
        <v>1.1970000000000001</v>
      </c>
      <c r="BR22" s="141">
        <v>1.2050000000000001</v>
      </c>
      <c r="BS22" s="141">
        <v>1.2130000000000001</v>
      </c>
      <c r="BT22" s="141">
        <v>1.218</v>
      </c>
      <c r="BU22" s="141">
        <v>1.228</v>
      </c>
      <c r="BV22" s="141">
        <v>1.236</v>
      </c>
      <c r="BW22" s="141">
        <v>1.2430000000000001</v>
      </c>
      <c r="BX22" s="141">
        <v>1.248</v>
      </c>
      <c r="BY22" s="141">
        <v>1.2589999999999999</v>
      </c>
      <c r="BZ22" s="141">
        <v>1.2669999999999999</v>
      </c>
      <c r="CA22" s="141">
        <v>1.274</v>
      </c>
      <c r="CB22" s="141">
        <v>1.2789999999999999</v>
      </c>
      <c r="CC22" s="141">
        <v>1.29</v>
      </c>
      <c r="CD22" s="141">
        <v>1.298</v>
      </c>
      <c r="CE22" s="141">
        <v>1.306</v>
      </c>
      <c r="CF22" s="141">
        <v>1.3109999999999999</v>
      </c>
      <c r="CG22" s="141">
        <v>1.321</v>
      </c>
      <c r="CH22" s="141">
        <v>1.329</v>
      </c>
      <c r="CI22" s="141">
        <v>1.337</v>
      </c>
      <c r="CJ22" s="141">
        <v>1.3420000000000001</v>
      </c>
      <c r="CK22" s="141">
        <v>1.353</v>
      </c>
      <c r="CL22" s="141">
        <v>1.361</v>
      </c>
      <c r="CM22" s="141">
        <v>1.369</v>
      </c>
      <c r="CN22" s="141">
        <v>1.3740000000000001</v>
      </c>
      <c r="CO22" s="141">
        <v>1.3839999999999999</v>
      </c>
      <c r="CP22" s="141">
        <v>1.3919999999999999</v>
      </c>
      <c r="CQ22" s="141">
        <v>1.399</v>
      </c>
      <c r="CR22" s="141">
        <v>1.405</v>
      </c>
      <c r="CS22" s="141">
        <v>1.4139999999999999</v>
      </c>
      <c r="CT22" s="141">
        <v>1.421</v>
      </c>
      <c r="CU22" s="141">
        <v>1.4279999999999999</v>
      </c>
      <c r="CV22" s="141">
        <v>1.4330000000000001</v>
      </c>
      <c r="CW22" s="142">
        <v>1.4419999999999999</v>
      </c>
    </row>
    <row r="23" spans="1:101" x14ac:dyDescent="0.25">
      <c r="A23" s="99" t="s">
        <v>364</v>
      </c>
      <c r="B23" s="143">
        <v>0.7</v>
      </c>
      <c r="C23" s="143">
        <v>0.7</v>
      </c>
      <c r="D23" s="143">
        <v>0.6</v>
      </c>
      <c r="E23" s="143">
        <v>0.6</v>
      </c>
      <c r="F23" s="143">
        <v>0.7</v>
      </c>
      <c r="G23" s="143">
        <v>0.7</v>
      </c>
      <c r="H23" s="143">
        <v>0.7</v>
      </c>
      <c r="I23" s="143">
        <v>0.8</v>
      </c>
      <c r="J23" s="143">
        <v>0.7</v>
      </c>
      <c r="K23" s="143">
        <v>0.7</v>
      </c>
      <c r="L23" s="143">
        <v>0.8</v>
      </c>
      <c r="M23" s="143">
        <v>0.8</v>
      </c>
      <c r="N23" s="143">
        <v>0.8</v>
      </c>
      <c r="O23" s="143">
        <v>0.8</v>
      </c>
      <c r="P23" s="143">
        <v>0.9</v>
      </c>
      <c r="Q23" s="143">
        <v>1</v>
      </c>
      <c r="R23" s="143">
        <v>1.1000000000000001</v>
      </c>
      <c r="S23" s="143">
        <v>1.2</v>
      </c>
      <c r="T23" s="143">
        <v>1.1000000000000001</v>
      </c>
      <c r="U23" s="143">
        <v>1.1000000000000001</v>
      </c>
      <c r="V23" s="143">
        <v>1.1000000000000001</v>
      </c>
      <c r="W23" s="143">
        <v>1</v>
      </c>
      <c r="X23" s="143">
        <v>1</v>
      </c>
      <c r="Y23" s="143">
        <v>1</v>
      </c>
      <c r="Z23" s="143">
        <v>1</v>
      </c>
      <c r="AA23" s="143">
        <v>1</v>
      </c>
      <c r="AB23" s="143">
        <v>1</v>
      </c>
      <c r="AC23" s="143">
        <v>1</v>
      </c>
      <c r="AD23" s="143">
        <v>1</v>
      </c>
      <c r="AE23" s="143">
        <v>1</v>
      </c>
      <c r="AF23" s="143">
        <v>1</v>
      </c>
      <c r="AG23" s="143">
        <v>1.1000000000000001</v>
      </c>
      <c r="AH23" s="143">
        <v>1.1000000000000001</v>
      </c>
      <c r="AI23" s="143">
        <v>1.1000000000000001</v>
      </c>
      <c r="AJ23" s="143">
        <v>1.1000000000000001</v>
      </c>
      <c r="AK23" s="143">
        <v>1.2</v>
      </c>
      <c r="AL23" s="143">
        <v>1.3</v>
      </c>
      <c r="AM23" s="143">
        <v>1.3</v>
      </c>
      <c r="AN23" s="143">
        <v>1.3</v>
      </c>
      <c r="AO23" s="143">
        <v>1.3</v>
      </c>
      <c r="AP23" s="143">
        <v>1.3</v>
      </c>
      <c r="AQ23" s="143">
        <v>1.2</v>
      </c>
      <c r="AR23" s="143">
        <v>1.2</v>
      </c>
      <c r="AS23" s="143">
        <v>1.1000000000000001</v>
      </c>
      <c r="AT23" s="143">
        <v>1</v>
      </c>
      <c r="AU23" s="143">
        <v>1</v>
      </c>
      <c r="AV23" s="143">
        <v>1</v>
      </c>
      <c r="AW23" s="143">
        <v>1.1000000000000001</v>
      </c>
      <c r="AX23" s="143">
        <v>1.3</v>
      </c>
      <c r="AY23" s="143">
        <v>1.6</v>
      </c>
      <c r="AZ23" s="143">
        <v>2</v>
      </c>
      <c r="BA23" s="143">
        <v>2.2999999999999998</v>
      </c>
      <c r="BB23" s="143">
        <v>2.7</v>
      </c>
      <c r="BC23" s="143">
        <v>2.9</v>
      </c>
      <c r="BD23" s="143">
        <v>3</v>
      </c>
      <c r="BE23" s="143">
        <v>3</v>
      </c>
      <c r="BF23" s="143">
        <v>2.9</v>
      </c>
      <c r="BG23" s="143">
        <v>2.9</v>
      </c>
      <c r="BH23" s="143">
        <v>2.8</v>
      </c>
      <c r="BI23" s="143">
        <v>2.8</v>
      </c>
      <c r="BJ23" s="143">
        <v>2.8</v>
      </c>
      <c r="BK23" s="143">
        <v>2.7</v>
      </c>
      <c r="BL23" s="143">
        <v>2.7</v>
      </c>
      <c r="BM23" s="143">
        <v>2.7</v>
      </c>
      <c r="BN23" s="143">
        <v>2.7</v>
      </c>
      <c r="BO23" s="143">
        <v>2.7</v>
      </c>
      <c r="BP23" s="143">
        <v>2.7</v>
      </c>
      <c r="BQ23" s="143">
        <v>2.6</v>
      </c>
      <c r="BR23" s="143">
        <v>2.6</v>
      </c>
      <c r="BS23" s="143">
        <v>2.6</v>
      </c>
      <c r="BT23" s="143">
        <v>2.6</v>
      </c>
      <c r="BU23" s="143">
        <v>2.6</v>
      </c>
      <c r="BV23" s="143">
        <v>2.6</v>
      </c>
      <c r="BW23" s="143">
        <v>2.5</v>
      </c>
      <c r="BX23" s="143">
        <v>2.5</v>
      </c>
      <c r="BY23" s="143">
        <v>2.5</v>
      </c>
      <c r="BZ23" s="143">
        <v>2.5</v>
      </c>
      <c r="CA23" s="143">
        <v>2.5</v>
      </c>
      <c r="CB23" s="143">
        <v>2.5</v>
      </c>
      <c r="CC23" s="143">
        <v>2.5</v>
      </c>
      <c r="CD23" s="143">
        <v>2.5</v>
      </c>
      <c r="CE23" s="143">
        <v>2.5</v>
      </c>
      <c r="CF23" s="143">
        <v>2.5</v>
      </c>
      <c r="CG23" s="143">
        <v>2.4</v>
      </c>
      <c r="CH23" s="143">
        <v>2.4</v>
      </c>
      <c r="CI23" s="143">
        <v>2.4</v>
      </c>
      <c r="CJ23" s="143">
        <v>2.4</v>
      </c>
      <c r="CK23" s="143">
        <v>2.4</v>
      </c>
      <c r="CL23" s="143">
        <v>2.4</v>
      </c>
      <c r="CM23" s="143">
        <v>2.4</v>
      </c>
      <c r="CN23" s="143">
        <v>2.4</v>
      </c>
      <c r="CO23" s="143">
        <v>2.4</v>
      </c>
      <c r="CP23" s="143">
        <v>2.2999999999999998</v>
      </c>
      <c r="CQ23" s="143">
        <v>2.2999999999999998</v>
      </c>
      <c r="CR23" s="143">
        <v>2.2999999999999998</v>
      </c>
      <c r="CS23" s="143">
        <v>2.2000000000000002</v>
      </c>
      <c r="CT23" s="143">
        <v>2.2000000000000002</v>
      </c>
      <c r="CU23" s="143">
        <v>2.1</v>
      </c>
      <c r="CV23" s="143">
        <v>2.1</v>
      </c>
      <c r="CW23" s="144">
        <v>2</v>
      </c>
    </row>
    <row r="24" spans="1:101" x14ac:dyDescent="0.25">
      <c r="A24" s="98" t="s">
        <v>366</v>
      </c>
      <c r="CW24" s="140"/>
    </row>
    <row r="25" spans="1:101" x14ac:dyDescent="0.25">
      <c r="A25" s="99" t="s">
        <v>363</v>
      </c>
      <c r="B25" s="141">
        <v>0.748</v>
      </c>
      <c r="C25" s="141">
        <v>0.751</v>
      </c>
      <c r="D25" s="141">
        <v>0.754</v>
      </c>
      <c r="E25" s="141">
        <v>0.755</v>
      </c>
      <c r="F25" s="141">
        <v>0.76100000000000001</v>
      </c>
      <c r="G25" s="141">
        <v>0.76700000000000002</v>
      </c>
      <c r="H25" s="141">
        <v>0.77</v>
      </c>
      <c r="I25" s="141">
        <v>0.76900000000000002</v>
      </c>
      <c r="J25" s="141">
        <v>0.77400000000000002</v>
      </c>
      <c r="K25" s="141">
        <v>0.77700000000000002</v>
      </c>
      <c r="L25" s="141">
        <v>0.78</v>
      </c>
      <c r="M25" s="141">
        <v>0.78</v>
      </c>
      <c r="N25" s="141">
        <v>0.78500000000000003</v>
      </c>
      <c r="O25" s="141">
        <v>0.78800000000000003</v>
      </c>
      <c r="P25" s="141">
        <v>0.79</v>
      </c>
      <c r="Q25" s="141">
        <v>0.79</v>
      </c>
      <c r="R25" s="141">
        <v>0.79500000000000004</v>
      </c>
      <c r="S25" s="141">
        <v>0.79900000000000004</v>
      </c>
      <c r="T25" s="141">
        <v>0.80400000000000005</v>
      </c>
      <c r="U25" s="141">
        <v>0.80500000000000005</v>
      </c>
      <c r="V25" s="141">
        <v>0.80800000000000005</v>
      </c>
      <c r="W25" s="141">
        <v>0.81399999999999995</v>
      </c>
      <c r="X25" s="141">
        <v>0.81899999999999995</v>
      </c>
      <c r="Y25" s="141">
        <v>0.82</v>
      </c>
      <c r="Z25" s="141">
        <v>0.82399999999999995</v>
      </c>
      <c r="AA25" s="141">
        <v>0.82899999999999996</v>
      </c>
      <c r="AB25" s="141">
        <v>0.83499999999999996</v>
      </c>
      <c r="AC25" s="141">
        <v>0.83799999999999997</v>
      </c>
      <c r="AD25" s="141">
        <v>0.84399999999999997</v>
      </c>
      <c r="AE25" s="141">
        <v>0.85</v>
      </c>
      <c r="AF25" s="141">
        <v>0.85499999999999998</v>
      </c>
      <c r="AG25" s="141">
        <v>0.85899999999999999</v>
      </c>
      <c r="AH25" s="141">
        <v>0.86699999999999999</v>
      </c>
      <c r="AI25" s="141">
        <v>0.872</v>
      </c>
      <c r="AJ25" s="141">
        <v>0.877</v>
      </c>
      <c r="AK25" s="141">
        <v>0.88200000000000001</v>
      </c>
      <c r="AL25" s="141">
        <v>0.88600000000000001</v>
      </c>
      <c r="AM25" s="141">
        <v>0.89200000000000002</v>
      </c>
      <c r="AN25" s="141">
        <v>0.89500000000000002</v>
      </c>
      <c r="AO25" s="141">
        <v>0.89800000000000002</v>
      </c>
      <c r="AP25" s="141">
        <v>0.90500000000000003</v>
      </c>
      <c r="AQ25" s="141">
        <v>0.90900000000000003</v>
      </c>
      <c r="AR25" s="141">
        <v>0.91500000000000004</v>
      </c>
      <c r="AS25" s="141">
        <v>0.92100000000000004</v>
      </c>
      <c r="AT25" s="141">
        <v>0.93200000000000005</v>
      </c>
      <c r="AU25" s="141">
        <v>0.94399999999999995</v>
      </c>
      <c r="AV25" s="141">
        <v>0.96</v>
      </c>
      <c r="AW25" s="141">
        <v>0.97299999999999998</v>
      </c>
      <c r="AX25" s="141">
        <v>0.99</v>
      </c>
      <c r="AY25" s="141">
        <v>1.01</v>
      </c>
      <c r="AZ25" s="141">
        <v>1.0269999999999999</v>
      </c>
      <c r="BA25" s="141">
        <v>1.038</v>
      </c>
      <c r="BB25" s="141">
        <v>1.05</v>
      </c>
      <c r="BC25" s="141">
        <v>1.06</v>
      </c>
      <c r="BD25" s="141">
        <v>1.0740000000000001</v>
      </c>
      <c r="BE25" s="141">
        <v>1.08</v>
      </c>
      <c r="BF25" s="141">
        <v>1.0900000000000001</v>
      </c>
      <c r="BG25" s="141">
        <v>1.1000000000000001</v>
      </c>
      <c r="BH25" s="141">
        <v>1.105</v>
      </c>
      <c r="BI25" s="141">
        <v>1.1100000000000001</v>
      </c>
      <c r="BJ25" s="141">
        <v>1.121</v>
      </c>
      <c r="BK25" s="141">
        <v>1.1299999999999999</v>
      </c>
      <c r="BL25" s="141">
        <v>1.139</v>
      </c>
      <c r="BM25" s="141">
        <v>1.1439999999999999</v>
      </c>
      <c r="BN25" s="141">
        <v>1.155</v>
      </c>
      <c r="BO25" s="141">
        <v>1.1639999999999999</v>
      </c>
      <c r="BP25" s="141">
        <v>1.173</v>
      </c>
      <c r="BQ25" s="141">
        <v>1.179</v>
      </c>
      <c r="BR25" s="141">
        <v>1.19</v>
      </c>
      <c r="BS25" s="141">
        <v>1.1990000000000001</v>
      </c>
      <c r="BT25" s="141">
        <v>1.208</v>
      </c>
      <c r="BU25" s="141">
        <v>1.214</v>
      </c>
      <c r="BV25" s="141">
        <v>1.224</v>
      </c>
      <c r="BW25" s="141">
        <v>1.2330000000000001</v>
      </c>
      <c r="BX25" s="141">
        <v>1.242</v>
      </c>
      <c r="BY25" s="141">
        <v>1.248</v>
      </c>
      <c r="BZ25" s="141">
        <v>1.2589999999999999</v>
      </c>
      <c r="CA25" s="141">
        <v>1.2669999999999999</v>
      </c>
      <c r="CB25" s="141">
        <v>1.2769999999999999</v>
      </c>
      <c r="CC25" s="141">
        <v>1.282</v>
      </c>
      <c r="CD25" s="141">
        <v>1.294</v>
      </c>
      <c r="CE25" s="141">
        <v>1.3029999999999999</v>
      </c>
      <c r="CF25" s="141">
        <v>1.3129999999999999</v>
      </c>
      <c r="CG25" s="141">
        <v>1.3180000000000001</v>
      </c>
      <c r="CH25" s="141">
        <v>1.33</v>
      </c>
      <c r="CI25" s="141">
        <v>1.339</v>
      </c>
      <c r="CJ25" s="141">
        <v>1.349</v>
      </c>
      <c r="CK25" s="141">
        <v>1.3540000000000001</v>
      </c>
      <c r="CL25" s="141">
        <v>1.3660000000000001</v>
      </c>
      <c r="CM25" s="141">
        <v>1.375</v>
      </c>
      <c r="CN25" s="141">
        <v>1.385</v>
      </c>
      <c r="CO25" s="141">
        <v>1.39</v>
      </c>
      <c r="CP25" s="141">
        <v>1.4019999999999999</v>
      </c>
      <c r="CQ25" s="141">
        <v>1.411</v>
      </c>
      <c r="CR25" s="141">
        <v>1.421</v>
      </c>
      <c r="CS25" s="141">
        <v>1.427</v>
      </c>
      <c r="CT25" s="141">
        <v>1.4390000000000001</v>
      </c>
      <c r="CU25" s="141">
        <v>1.4490000000000001</v>
      </c>
      <c r="CV25" s="141">
        <v>1.4590000000000001</v>
      </c>
      <c r="CW25" s="142">
        <v>1.4650000000000001</v>
      </c>
    </row>
    <row r="26" spans="1:101" x14ac:dyDescent="0.25">
      <c r="A26" s="99" t="s">
        <v>364</v>
      </c>
      <c r="B26" s="143" t="s">
        <v>367</v>
      </c>
      <c r="C26" s="143" t="s">
        <v>367</v>
      </c>
      <c r="D26" s="143" t="s">
        <v>367</v>
      </c>
      <c r="E26" s="143" t="s">
        <v>367</v>
      </c>
      <c r="F26" s="143" t="s">
        <v>367</v>
      </c>
      <c r="G26" s="143">
        <v>1.7</v>
      </c>
      <c r="H26" s="143">
        <v>1.8</v>
      </c>
      <c r="I26" s="143">
        <v>1.9</v>
      </c>
      <c r="J26" s="143">
        <v>1.9</v>
      </c>
      <c r="K26" s="143">
        <v>1.7</v>
      </c>
      <c r="L26" s="143">
        <v>1.6</v>
      </c>
      <c r="M26" s="143">
        <v>1.4</v>
      </c>
      <c r="N26" s="143">
        <v>1.3</v>
      </c>
      <c r="O26" s="143">
        <v>1.4</v>
      </c>
      <c r="P26" s="143">
        <v>1.4</v>
      </c>
      <c r="Q26" s="143">
        <v>1.4</v>
      </c>
      <c r="R26" s="143">
        <v>1.3</v>
      </c>
      <c r="S26" s="143">
        <v>1.3</v>
      </c>
      <c r="T26" s="143">
        <v>1.4</v>
      </c>
      <c r="U26" s="143">
        <v>1.6</v>
      </c>
      <c r="V26" s="143">
        <v>1.7</v>
      </c>
      <c r="W26" s="143">
        <v>1.8</v>
      </c>
      <c r="X26" s="143">
        <v>1.8</v>
      </c>
      <c r="Y26" s="143">
        <v>1.8</v>
      </c>
      <c r="Z26" s="143">
        <v>1.9</v>
      </c>
      <c r="AA26" s="143">
        <v>1.9</v>
      </c>
      <c r="AB26" s="143">
        <v>1.9</v>
      </c>
      <c r="AC26" s="143">
        <v>2</v>
      </c>
      <c r="AD26" s="143">
        <v>2.1</v>
      </c>
      <c r="AE26" s="143">
        <v>2.2999999999999998</v>
      </c>
      <c r="AF26" s="143">
        <v>2.4</v>
      </c>
      <c r="AG26" s="143">
        <v>2.5</v>
      </c>
      <c r="AH26" s="143">
        <v>2.5</v>
      </c>
      <c r="AI26" s="143">
        <v>2.5</v>
      </c>
      <c r="AJ26" s="143">
        <v>2.5</v>
      </c>
      <c r="AK26" s="143">
        <v>2.6</v>
      </c>
      <c r="AL26" s="143">
        <v>2.5</v>
      </c>
      <c r="AM26" s="143">
        <v>2.4</v>
      </c>
      <c r="AN26" s="143">
        <v>2.2999999999999998</v>
      </c>
      <c r="AO26" s="143">
        <v>2.1</v>
      </c>
      <c r="AP26" s="143">
        <v>2</v>
      </c>
      <c r="AQ26" s="143">
        <v>2</v>
      </c>
      <c r="AR26" s="143">
        <v>2</v>
      </c>
      <c r="AS26" s="143">
        <v>2.2000000000000002</v>
      </c>
      <c r="AT26" s="143">
        <v>2.5</v>
      </c>
      <c r="AU26" s="143">
        <v>2.9</v>
      </c>
      <c r="AV26" s="143">
        <v>3.6</v>
      </c>
      <c r="AW26" s="143">
        <v>4.4000000000000004</v>
      </c>
      <c r="AX26" s="143">
        <v>5.2</v>
      </c>
      <c r="AY26" s="143">
        <v>5.9</v>
      </c>
      <c r="AZ26" s="143">
        <v>6.5</v>
      </c>
      <c r="BA26" s="143">
        <v>6.7</v>
      </c>
      <c r="BB26" s="143">
        <v>6.7</v>
      </c>
      <c r="BC26" s="143">
        <v>6.2</v>
      </c>
      <c r="BD26" s="143">
        <v>5.6</v>
      </c>
      <c r="BE26" s="143">
        <v>4.9000000000000004</v>
      </c>
      <c r="BF26" s="143">
        <v>4.3</v>
      </c>
      <c r="BG26" s="143">
        <v>4</v>
      </c>
      <c r="BH26" s="143">
        <v>3.6</v>
      </c>
      <c r="BI26" s="143">
        <v>3.3</v>
      </c>
      <c r="BJ26" s="143">
        <v>3.1</v>
      </c>
      <c r="BK26" s="143">
        <v>2.8</v>
      </c>
      <c r="BL26" s="143">
        <v>2.9</v>
      </c>
      <c r="BM26" s="143">
        <v>3</v>
      </c>
      <c r="BN26" s="143">
        <v>3</v>
      </c>
      <c r="BO26" s="143">
        <v>3</v>
      </c>
      <c r="BP26" s="143">
        <v>3</v>
      </c>
      <c r="BQ26" s="143">
        <v>3</v>
      </c>
      <c r="BR26" s="143">
        <v>3</v>
      </c>
      <c r="BS26" s="143">
        <v>3</v>
      </c>
      <c r="BT26" s="143">
        <v>3</v>
      </c>
      <c r="BU26" s="143">
        <v>3</v>
      </c>
      <c r="BV26" s="143">
        <v>3</v>
      </c>
      <c r="BW26" s="143">
        <v>2.9</v>
      </c>
      <c r="BX26" s="143">
        <v>2.9</v>
      </c>
      <c r="BY26" s="143">
        <v>2.8</v>
      </c>
      <c r="BZ26" s="143">
        <v>2.8</v>
      </c>
      <c r="CA26" s="143">
        <v>2.8</v>
      </c>
      <c r="CB26" s="143">
        <v>2.8</v>
      </c>
      <c r="CC26" s="143">
        <v>2.8</v>
      </c>
      <c r="CD26" s="143">
        <v>2.8</v>
      </c>
      <c r="CE26" s="143">
        <v>2.8</v>
      </c>
      <c r="CF26" s="143">
        <v>2.8</v>
      </c>
      <c r="CG26" s="143">
        <v>2.8</v>
      </c>
      <c r="CH26" s="143">
        <v>2.8</v>
      </c>
      <c r="CI26" s="143">
        <v>2.8</v>
      </c>
      <c r="CJ26" s="143">
        <v>2.8</v>
      </c>
      <c r="CK26" s="143">
        <v>2.8</v>
      </c>
      <c r="CL26" s="143">
        <v>2.7</v>
      </c>
      <c r="CM26" s="143">
        <v>2.7</v>
      </c>
      <c r="CN26" s="143">
        <v>2.7</v>
      </c>
      <c r="CO26" s="143">
        <v>2.7</v>
      </c>
      <c r="CP26" s="143">
        <v>2.7</v>
      </c>
      <c r="CQ26" s="143">
        <v>2.7</v>
      </c>
      <c r="CR26" s="143">
        <v>2.7</v>
      </c>
      <c r="CS26" s="143">
        <v>2.6</v>
      </c>
      <c r="CT26" s="143">
        <v>2.6</v>
      </c>
      <c r="CU26" s="143">
        <v>2.6</v>
      </c>
      <c r="CV26" s="143">
        <v>2.7</v>
      </c>
      <c r="CW26" s="144">
        <v>2.7</v>
      </c>
    </row>
    <row r="27" spans="1:101" x14ac:dyDescent="0.25">
      <c r="A27" s="98" t="s">
        <v>368</v>
      </c>
      <c r="CW27" s="140"/>
    </row>
    <row r="28" spans="1:101" x14ac:dyDescent="0.25">
      <c r="A28" s="99" t="s">
        <v>363</v>
      </c>
      <c r="B28" s="141">
        <v>0.78900000000000003</v>
      </c>
      <c r="C28" s="141">
        <v>0.79200000000000004</v>
      </c>
      <c r="D28" s="141">
        <v>0.79600000000000004</v>
      </c>
      <c r="E28" s="141">
        <v>0.79800000000000004</v>
      </c>
      <c r="F28" s="141">
        <v>0.80300000000000005</v>
      </c>
      <c r="G28" s="141">
        <v>0.80800000000000005</v>
      </c>
      <c r="H28" s="141">
        <v>0.81200000000000006</v>
      </c>
      <c r="I28" s="141">
        <v>0.81299999999999994</v>
      </c>
      <c r="J28" s="141">
        <v>0.81899999999999995</v>
      </c>
      <c r="K28" s="141">
        <v>0.82299999999999995</v>
      </c>
      <c r="L28" s="141">
        <v>0.82499999999999996</v>
      </c>
      <c r="M28" s="141">
        <v>0.82699999999999996</v>
      </c>
      <c r="N28" s="141">
        <v>0.83199999999999996</v>
      </c>
      <c r="O28" s="141">
        <v>0.83599999999999997</v>
      </c>
      <c r="P28" s="141">
        <v>0.83899999999999997</v>
      </c>
      <c r="Q28" s="141">
        <v>0.84099999999999997</v>
      </c>
      <c r="R28" s="141">
        <v>0.84499999999999997</v>
      </c>
      <c r="S28" s="141">
        <v>0.85</v>
      </c>
      <c r="T28" s="141">
        <v>0.85299999999999998</v>
      </c>
      <c r="U28" s="141">
        <v>0.85499999999999998</v>
      </c>
      <c r="V28" s="141">
        <v>0.85799999999999998</v>
      </c>
      <c r="W28" s="141">
        <v>0.86199999999999999</v>
      </c>
      <c r="X28" s="141">
        <v>0.86599999999999999</v>
      </c>
      <c r="Y28" s="141">
        <v>0.86699999999999999</v>
      </c>
      <c r="Z28" s="141">
        <v>0.872</v>
      </c>
      <c r="AA28" s="141">
        <v>0.877</v>
      </c>
      <c r="AB28" s="141">
        <v>0.88200000000000001</v>
      </c>
      <c r="AC28" s="141">
        <v>0.88500000000000001</v>
      </c>
      <c r="AD28" s="141">
        <v>0.89100000000000001</v>
      </c>
      <c r="AE28" s="141">
        <v>0.89600000000000002</v>
      </c>
      <c r="AF28" s="141">
        <v>0.9</v>
      </c>
      <c r="AG28" s="141">
        <v>0.90400000000000003</v>
      </c>
      <c r="AH28" s="141">
        <v>0.91200000000000003</v>
      </c>
      <c r="AI28" s="141">
        <v>0.91800000000000004</v>
      </c>
      <c r="AJ28" s="141">
        <v>0.92400000000000004</v>
      </c>
      <c r="AK28" s="141">
        <v>0.93</v>
      </c>
      <c r="AL28" s="141">
        <v>0.93500000000000005</v>
      </c>
      <c r="AM28" s="141">
        <v>0.94099999999999995</v>
      </c>
      <c r="AN28" s="141">
        <v>0.94599999999999995</v>
      </c>
      <c r="AO28" s="141">
        <v>0.95099999999999996</v>
      </c>
      <c r="AP28" s="141">
        <v>0.95799999999999996</v>
      </c>
      <c r="AQ28" s="141">
        <v>0.95699999999999996</v>
      </c>
      <c r="AR28" s="141">
        <v>0.96499999999999997</v>
      </c>
      <c r="AS28" s="141">
        <v>0.97</v>
      </c>
      <c r="AT28" s="141">
        <v>0.98</v>
      </c>
      <c r="AU28" s="141">
        <v>0.99199999999999999</v>
      </c>
      <c r="AV28" s="141">
        <v>1.006</v>
      </c>
      <c r="AW28" s="141">
        <v>1.022</v>
      </c>
      <c r="AX28" s="141">
        <v>1.0389999999999999</v>
      </c>
      <c r="AY28" s="141">
        <v>1.0549999999999999</v>
      </c>
      <c r="AZ28" s="141">
        <v>1.07</v>
      </c>
      <c r="BA28" s="141">
        <v>1.0820000000000001</v>
      </c>
      <c r="BB28" s="141">
        <v>1.0960000000000001</v>
      </c>
      <c r="BC28" s="141">
        <v>1.1060000000000001</v>
      </c>
      <c r="BD28" s="141">
        <v>1.119</v>
      </c>
      <c r="BE28" s="141">
        <v>1.1259999999999999</v>
      </c>
      <c r="BF28" s="141">
        <v>1.141</v>
      </c>
      <c r="BG28" s="141">
        <v>1.151</v>
      </c>
      <c r="BH28" s="141">
        <v>1.161</v>
      </c>
      <c r="BI28" s="141">
        <v>1.17</v>
      </c>
      <c r="BJ28" s="141">
        <v>1.1819999999999999</v>
      </c>
      <c r="BK28" s="141">
        <v>1.1919999999999999</v>
      </c>
      <c r="BL28" s="141">
        <v>1.2030000000000001</v>
      </c>
      <c r="BM28" s="141">
        <v>1.208</v>
      </c>
      <c r="BN28" s="141">
        <v>1.22</v>
      </c>
      <c r="BO28" s="141">
        <v>1.2290000000000001</v>
      </c>
      <c r="BP28" s="141">
        <v>1.24</v>
      </c>
      <c r="BQ28" s="141">
        <v>1.2450000000000001</v>
      </c>
      <c r="BR28" s="141">
        <v>1.2569999999999999</v>
      </c>
      <c r="BS28" s="141">
        <v>1.266</v>
      </c>
      <c r="BT28" s="141">
        <v>1.2769999999999999</v>
      </c>
      <c r="BU28" s="141">
        <v>1.2809999999999999</v>
      </c>
      <c r="BV28" s="141">
        <v>1.292</v>
      </c>
      <c r="BW28" s="141">
        <v>1.302</v>
      </c>
      <c r="BX28" s="141">
        <v>1.3129999999999999</v>
      </c>
      <c r="BY28" s="141">
        <v>1.3169999999999999</v>
      </c>
      <c r="BZ28" s="141">
        <v>1.329</v>
      </c>
      <c r="CA28" s="141">
        <v>1.339</v>
      </c>
      <c r="CB28" s="141">
        <v>1.35</v>
      </c>
      <c r="CC28" s="141">
        <v>1.355</v>
      </c>
      <c r="CD28" s="141">
        <v>1.367</v>
      </c>
      <c r="CE28" s="141">
        <v>1.377</v>
      </c>
      <c r="CF28" s="141">
        <v>1.3879999999999999</v>
      </c>
      <c r="CG28" s="141">
        <v>1.3939999999999999</v>
      </c>
      <c r="CH28" s="141">
        <v>1.405</v>
      </c>
      <c r="CI28" s="141">
        <v>1.4159999999999999</v>
      </c>
      <c r="CJ28" s="141">
        <v>1.4279999999999999</v>
      </c>
      <c r="CK28" s="141">
        <v>1.4330000000000001</v>
      </c>
      <c r="CL28" s="141">
        <v>1.4450000000000001</v>
      </c>
      <c r="CM28" s="141">
        <v>1.456</v>
      </c>
      <c r="CN28" s="141">
        <v>1.4670000000000001</v>
      </c>
      <c r="CO28" s="141">
        <v>1.472</v>
      </c>
      <c r="CP28" s="141">
        <v>1.4850000000000001</v>
      </c>
      <c r="CQ28" s="141">
        <v>1.496</v>
      </c>
      <c r="CR28" s="141">
        <v>1.508</v>
      </c>
      <c r="CS28" s="141">
        <v>1.5129999999999999</v>
      </c>
      <c r="CT28" s="141">
        <v>1.526</v>
      </c>
      <c r="CU28" s="141">
        <v>1.5369999999999999</v>
      </c>
      <c r="CV28" s="141">
        <v>1.5489999999999999</v>
      </c>
      <c r="CW28" s="142">
        <v>1.5549999999999999</v>
      </c>
    </row>
    <row r="29" spans="1:101" x14ac:dyDescent="0.25">
      <c r="A29" s="99" t="s">
        <v>364</v>
      </c>
      <c r="B29" s="143" t="s">
        <v>367</v>
      </c>
      <c r="C29" s="143" t="s">
        <v>367</v>
      </c>
      <c r="D29" s="143" t="s">
        <v>367</v>
      </c>
      <c r="E29" s="143" t="s">
        <v>367</v>
      </c>
      <c r="F29" s="143" t="s">
        <v>367</v>
      </c>
      <c r="G29" s="143" t="s">
        <v>367</v>
      </c>
      <c r="H29" s="143" t="s">
        <v>367</v>
      </c>
      <c r="I29" s="143">
        <v>1.9</v>
      </c>
      <c r="J29" s="143">
        <v>2</v>
      </c>
      <c r="K29" s="143">
        <v>1.9</v>
      </c>
      <c r="L29" s="143">
        <v>1.8</v>
      </c>
      <c r="M29" s="143">
        <v>1.8</v>
      </c>
      <c r="N29" s="143">
        <v>1.7</v>
      </c>
      <c r="O29" s="143">
        <v>1.6</v>
      </c>
      <c r="P29" s="143">
        <v>1.6</v>
      </c>
      <c r="Q29" s="143">
        <v>1.6</v>
      </c>
      <c r="R29" s="143">
        <v>1.6</v>
      </c>
      <c r="S29" s="143">
        <v>1.7</v>
      </c>
      <c r="T29" s="143">
        <v>1.6</v>
      </c>
      <c r="U29" s="143">
        <v>1.6</v>
      </c>
      <c r="V29" s="143">
        <v>1.6</v>
      </c>
      <c r="W29" s="143">
        <v>1.6</v>
      </c>
      <c r="X29" s="143">
        <v>1.5</v>
      </c>
      <c r="Y29" s="143">
        <v>1.5</v>
      </c>
      <c r="Z29" s="143">
        <v>1.5</v>
      </c>
      <c r="AA29" s="143">
        <v>1.6</v>
      </c>
      <c r="AB29" s="143">
        <v>1.7</v>
      </c>
      <c r="AC29" s="143">
        <v>1.8</v>
      </c>
      <c r="AD29" s="143">
        <v>2</v>
      </c>
      <c r="AE29" s="143">
        <v>2.1</v>
      </c>
      <c r="AF29" s="143">
        <v>2.1</v>
      </c>
      <c r="AG29" s="143">
        <v>2.2000000000000002</v>
      </c>
      <c r="AH29" s="143">
        <v>2.2000000000000002</v>
      </c>
      <c r="AI29" s="143">
        <v>2.2999999999999998</v>
      </c>
      <c r="AJ29" s="143">
        <v>2.4</v>
      </c>
      <c r="AK29" s="143">
        <v>2.6</v>
      </c>
      <c r="AL29" s="143">
        <v>2.6</v>
      </c>
      <c r="AM29" s="143">
        <v>2.6</v>
      </c>
      <c r="AN29" s="143">
        <v>2.5</v>
      </c>
      <c r="AO29" s="143">
        <v>2.4</v>
      </c>
      <c r="AP29" s="143">
        <v>2.4</v>
      </c>
      <c r="AQ29" s="143">
        <v>2.2000000000000002</v>
      </c>
      <c r="AR29" s="143">
        <v>2.1</v>
      </c>
      <c r="AS29" s="143">
        <v>2.1</v>
      </c>
      <c r="AT29" s="143">
        <v>2</v>
      </c>
      <c r="AU29" s="143">
        <v>2.5</v>
      </c>
      <c r="AV29" s="143">
        <v>3.1</v>
      </c>
      <c r="AW29" s="143">
        <v>3.9</v>
      </c>
      <c r="AX29" s="143">
        <v>4.8</v>
      </c>
      <c r="AY29" s="143">
        <v>5.5</v>
      </c>
      <c r="AZ29" s="143">
        <v>6</v>
      </c>
      <c r="BA29" s="143">
        <v>6.2</v>
      </c>
      <c r="BB29" s="143">
        <v>6</v>
      </c>
      <c r="BC29" s="143">
        <v>5.6</v>
      </c>
      <c r="BD29" s="143">
        <v>5.2</v>
      </c>
      <c r="BE29" s="143">
        <v>4.7</v>
      </c>
      <c r="BF29" s="143">
        <v>4.4000000000000004</v>
      </c>
      <c r="BG29" s="143">
        <v>4.2</v>
      </c>
      <c r="BH29" s="143">
        <v>4</v>
      </c>
      <c r="BI29" s="143">
        <v>4</v>
      </c>
      <c r="BJ29" s="143">
        <v>3.8</v>
      </c>
      <c r="BK29" s="143">
        <v>3.7</v>
      </c>
      <c r="BL29" s="143">
        <v>3.6</v>
      </c>
      <c r="BM29" s="143">
        <v>3.5</v>
      </c>
      <c r="BN29" s="143">
        <v>3.4</v>
      </c>
      <c r="BO29" s="143">
        <v>3.3</v>
      </c>
      <c r="BP29" s="143">
        <v>3.2</v>
      </c>
      <c r="BQ29" s="143">
        <v>3.1</v>
      </c>
      <c r="BR29" s="143">
        <v>3.1</v>
      </c>
      <c r="BS29" s="143">
        <v>3</v>
      </c>
      <c r="BT29" s="143">
        <v>3</v>
      </c>
      <c r="BU29" s="143">
        <v>3</v>
      </c>
      <c r="BV29" s="143">
        <v>2.9</v>
      </c>
      <c r="BW29" s="143">
        <v>2.9</v>
      </c>
      <c r="BX29" s="143">
        <v>2.9</v>
      </c>
      <c r="BY29" s="143">
        <v>2.8</v>
      </c>
      <c r="BZ29" s="143">
        <v>2.8</v>
      </c>
      <c r="CA29" s="143">
        <v>2.8</v>
      </c>
      <c r="CB29" s="143">
        <v>2.8</v>
      </c>
      <c r="CC29" s="143">
        <v>2.8</v>
      </c>
      <c r="CD29" s="143">
        <v>2.9</v>
      </c>
      <c r="CE29" s="143">
        <v>2.9</v>
      </c>
      <c r="CF29" s="143">
        <v>2.8</v>
      </c>
      <c r="CG29" s="143">
        <v>2.8</v>
      </c>
      <c r="CH29" s="143">
        <v>2.8</v>
      </c>
      <c r="CI29" s="143">
        <v>2.8</v>
      </c>
      <c r="CJ29" s="143">
        <v>2.8</v>
      </c>
      <c r="CK29" s="143">
        <v>2.8</v>
      </c>
      <c r="CL29" s="143">
        <v>2.8</v>
      </c>
      <c r="CM29" s="143">
        <v>2.8</v>
      </c>
      <c r="CN29" s="143">
        <v>2.8</v>
      </c>
      <c r="CO29" s="143">
        <v>2.8</v>
      </c>
      <c r="CP29" s="143">
        <v>2.8</v>
      </c>
      <c r="CQ29" s="143">
        <v>2.8</v>
      </c>
      <c r="CR29" s="143">
        <v>2.8</v>
      </c>
      <c r="CS29" s="143">
        <v>2.8</v>
      </c>
      <c r="CT29" s="143">
        <v>2.8</v>
      </c>
      <c r="CU29" s="143">
        <v>2.8</v>
      </c>
      <c r="CV29" s="143">
        <v>2.8</v>
      </c>
      <c r="CW29" s="144">
        <v>2.8</v>
      </c>
    </row>
    <row r="30" spans="1:101" x14ac:dyDescent="0.25">
      <c r="A30" s="100" t="s">
        <v>369</v>
      </c>
      <c r="CW30" s="140"/>
    </row>
    <row r="31" spans="1:101" x14ac:dyDescent="0.25">
      <c r="A31" s="99" t="s">
        <v>363</v>
      </c>
      <c r="B31" s="141">
        <v>0.79700000000000004</v>
      </c>
      <c r="C31" s="141">
        <v>0.80100000000000005</v>
      </c>
      <c r="D31" s="141">
        <v>0.80500000000000005</v>
      </c>
      <c r="E31" s="141">
        <v>0.80800000000000005</v>
      </c>
      <c r="F31" s="141">
        <v>0.81399999999999995</v>
      </c>
      <c r="G31" s="141">
        <v>0.81899999999999995</v>
      </c>
      <c r="H31" s="141">
        <v>0.82299999999999995</v>
      </c>
      <c r="I31" s="141">
        <v>0.82399999999999995</v>
      </c>
      <c r="J31" s="141">
        <v>0.83</v>
      </c>
      <c r="K31" s="141">
        <v>0.83299999999999996</v>
      </c>
      <c r="L31" s="141">
        <v>0.83599999999999997</v>
      </c>
      <c r="M31" s="141">
        <v>0.83899999999999997</v>
      </c>
      <c r="N31" s="141">
        <v>0.84399999999999997</v>
      </c>
      <c r="O31" s="141">
        <v>0.84799999999999998</v>
      </c>
      <c r="P31" s="141">
        <v>0.85199999999999998</v>
      </c>
      <c r="Q31" s="141">
        <v>0.85299999999999998</v>
      </c>
      <c r="R31" s="141">
        <v>0.85799999999999998</v>
      </c>
      <c r="S31" s="141">
        <v>0.86299999999999999</v>
      </c>
      <c r="T31" s="141">
        <v>0.86599999999999999</v>
      </c>
      <c r="U31" s="141">
        <v>0.86799999999999999</v>
      </c>
      <c r="V31" s="141">
        <v>0.871</v>
      </c>
      <c r="W31" s="141">
        <v>0.876</v>
      </c>
      <c r="X31" s="141">
        <v>0.88</v>
      </c>
      <c r="Y31" s="141">
        <v>0.88200000000000001</v>
      </c>
      <c r="Z31" s="141">
        <v>0.88700000000000001</v>
      </c>
      <c r="AA31" s="141">
        <v>0.89300000000000002</v>
      </c>
      <c r="AB31" s="141">
        <v>0.89700000000000002</v>
      </c>
      <c r="AC31" s="141">
        <v>0.90200000000000002</v>
      </c>
      <c r="AD31" s="141">
        <v>0.90900000000000003</v>
      </c>
      <c r="AE31" s="141">
        <v>0.91300000000000003</v>
      </c>
      <c r="AF31" s="141">
        <v>0.91800000000000004</v>
      </c>
      <c r="AG31" s="141">
        <v>0.92200000000000004</v>
      </c>
      <c r="AH31" s="141">
        <v>0.92900000000000005</v>
      </c>
      <c r="AI31" s="141">
        <v>0.93500000000000005</v>
      </c>
      <c r="AJ31" s="141">
        <v>0.93899999999999995</v>
      </c>
      <c r="AK31" s="141">
        <v>0.94499999999999995</v>
      </c>
      <c r="AL31" s="141">
        <v>0.95099999999999996</v>
      </c>
      <c r="AM31" s="141">
        <v>0.95599999999999996</v>
      </c>
      <c r="AN31" s="141">
        <v>0.96099999999999997</v>
      </c>
      <c r="AO31" s="141">
        <v>0.96599999999999997</v>
      </c>
      <c r="AP31" s="141">
        <v>0.97199999999999998</v>
      </c>
      <c r="AQ31" s="141">
        <v>0.97499999999999998</v>
      </c>
      <c r="AR31" s="141">
        <v>0.98</v>
      </c>
      <c r="AS31" s="141">
        <v>0.98399999999999999</v>
      </c>
      <c r="AT31" s="141">
        <v>0.995</v>
      </c>
      <c r="AU31" s="141">
        <v>1.004</v>
      </c>
      <c r="AV31" s="141">
        <v>1.016</v>
      </c>
      <c r="AW31" s="141">
        <v>1.03</v>
      </c>
      <c r="AX31" s="141">
        <v>1.046</v>
      </c>
      <c r="AY31" s="141">
        <v>1.0609999999999999</v>
      </c>
      <c r="AZ31" s="141">
        <v>1.075</v>
      </c>
      <c r="BA31" s="141">
        <v>1.0860000000000001</v>
      </c>
      <c r="BB31" s="141">
        <v>1.1000000000000001</v>
      </c>
      <c r="BC31" s="141">
        <v>1.109</v>
      </c>
      <c r="BD31" s="141">
        <v>1.121</v>
      </c>
      <c r="BE31" s="141">
        <v>1.129</v>
      </c>
      <c r="BF31" s="141">
        <v>1.143</v>
      </c>
      <c r="BG31" s="141">
        <v>1.1519999999999999</v>
      </c>
      <c r="BH31" s="141">
        <v>1.1619999999999999</v>
      </c>
      <c r="BI31" s="141">
        <v>1.17</v>
      </c>
      <c r="BJ31" s="141">
        <v>1.1830000000000001</v>
      </c>
      <c r="BK31" s="141">
        <v>1.1930000000000001</v>
      </c>
      <c r="BL31" s="141">
        <v>1.204</v>
      </c>
      <c r="BM31" s="141">
        <v>1.212</v>
      </c>
      <c r="BN31" s="141">
        <v>1.224</v>
      </c>
      <c r="BO31" s="141">
        <v>1.232</v>
      </c>
      <c r="BP31" s="141">
        <v>1.242</v>
      </c>
      <c r="BQ31" s="141">
        <v>1.2490000000000001</v>
      </c>
      <c r="BR31" s="141">
        <v>1.262</v>
      </c>
      <c r="BS31" s="141">
        <v>1.27</v>
      </c>
      <c r="BT31" s="141">
        <v>1.2789999999999999</v>
      </c>
      <c r="BU31" s="141">
        <v>1.2869999999999999</v>
      </c>
      <c r="BV31" s="141">
        <v>1.2989999999999999</v>
      </c>
      <c r="BW31" s="141">
        <v>1.3069999999999999</v>
      </c>
      <c r="BX31" s="141">
        <v>1.3169999999999999</v>
      </c>
      <c r="BY31" s="141">
        <v>1.325</v>
      </c>
      <c r="BZ31" s="141">
        <v>1.337</v>
      </c>
      <c r="CA31" s="141">
        <v>1.3460000000000001</v>
      </c>
      <c r="CB31" s="141">
        <v>1.3560000000000001</v>
      </c>
      <c r="CC31" s="141">
        <v>1.3640000000000001</v>
      </c>
      <c r="CD31" s="141">
        <v>1.3759999999999999</v>
      </c>
      <c r="CE31" s="141">
        <v>1.385</v>
      </c>
      <c r="CF31" s="141">
        <v>1.395</v>
      </c>
      <c r="CG31" s="141">
        <v>1.403</v>
      </c>
      <c r="CH31" s="141">
        <v>1.4159999999999999</v>
      </c>
      <c r="CI31" s="141">
        <v>1.425</v>
      </c>
      <c r="CJ31" s="141">
        <v>1.4350000000000001</v>
      </c>
      <c r="CK31" s="141">
        <v>1.4430000000000001</v>
      </c>
      <c r="CL31" s="141">
        <v>1.456</v>
      </c>
      <c r="CM31" s="141">
        <v>1.4650000000000001</v>
      </c>
      <c r="CN31" s="141">
        <v>1.476</v>
      </c>
      <c r="CO31" s="141">
        <v>1.484</v>
      </c>
      <c r="CP31" s="141">
        <v>1.4970000000000001</v>
      </c>
      <c r="CQ31" s="141">
        <v>1.506</v>
      </c>
      <c r="CR31" s="141">
        <v>1.5169999999999999</v>
      </c>
      <c r="CS31" s="141">
        <v>1.526</v>
      </c>
      <c r="CT31" s="141">
        <v>1.5389999999999999</v>
      </c>
      <c r="CU31" s="141">
        <v>1.5489999999999999</v>
      </c>
      <c r="CV31" s="141">
        <v>1.56</v>
      </c>
      <c r="CW31" s="142">
        <v>1.5680000000000001</v>
      </c>
    </row>
    <row r="32" spans="1:101" x14ac:dyDescent="0.25">
      <c r="A32" s="99" t="s">
        <v>364</v>
      </c>
      <c r="B32" s="143">
        <v>1.8</v>
      </c>
      <c r="C32" s="143">
        <v>1.9</v>
      </c>
      <c r="D32" s="143">
        <v>2</v>
      </c>
      <c r="E32" s="143">
        <v>2</v>
      </c>
      <c r="F32" s="143">
        <v>2.1</v>
      </c>
      <c r="G32" s="143">
        <v>2.1</v>
      </c>
      <c r="H32" s="143">
        <v>2.2000000000000002</v>
      </c>
      <c r="I32" s="143">
        <v>2.1</v>
      </c>
      <c r="J32" s="143">
        <v>2.1</v>
      </c>
      <c r="K32" s="143">
        <v>1.9</v>
      </c>
      <c r="L32" s="143">
        <v>1.8</v>
      </c>
      <c r="M32" s="143">
        <v>1.8</v>
      </c>
      <c r="N32" s="143">
        <v>1.7</v>
      </c>
      <c r="O32" s="143">
        <v>1.7</v>
      </c>
      <c r="P32" s="143">
        <v>1.8</v>
      </c>
      <c r="Q32" s="143">
        <v>1.8</v>
      </c>
      <c r="R32" s="143">
        <v>1.8</v>
      </c>
      <c r="S32" s="143">
        <v>1.7</v>
      </c>
      <c r="T32" s="143">
        <v>1.7</v>
      </c>
      <c r="U32" s="143">
        <v>1.7</v>
      </c>
      <c r="V32" s="143">
        <v>1.7</v>
      </c>
      <c r="W32" s="143">
        <v>1.6</v>
      </c>
      <c r="X32" s="143">
        <v>1.6</v>
      </c>
      <c r="Y32" s="143">
        <v>1.6</v>
      </c>
      <c r="Z32" s="143">
        <v>1.6</v>
      </c>
      <c r="AA32" s="143">
        <v>1.7</v>
      </c>
      <c r="AB32" s="143">
        <v>1.8</v>
      </c>
      <c r="AC32" s="143">
        <v>2</v>
      </c>
      <c r="AD32" s="143">
        <v>2.2000000000000002</v>
      </c>
      <c r="AE32" s="143">
        <v>2.2999999999999998</v>
      </c>
      <c r="AF32" s="143">
        <v>2.2999999999999998</v>
      </c>
      <c r="AG32" s="143">
        <v>2.2999999999999998</v>
      </c>
      <c r="AH32" s="143">
        <v>2.2999999999999998</v>
      </c>
      <c r="AI32" s="143">
        <v>2.2999999999999998</v>
      </c>
      <c r="AJ32" s="143">
        <v>2.2999999999999998</v>
      </c>
      <c r="AK32" s="143">
        <v>2.4</v>
      </c>
      <c r="AL32" s="143">
        <v>2.4</v>
      </c>
      <c r="AM32" s="143">
        <v>2.4</v>
      </c>
      <c r="AN32" s="143">
        <v>2.4</v>
      </c>
      <c r="AO32" s="143">
        <v>2.2999999999999998</v>
      </c>
      <c r="AP32" s="143">
        <v>2.2000000000000002</v>
      </c>
      <c r="AQ32" s="143">
        <v>2.2000000000000002</v>
      </c>
      <c r="AR32" s="143">
        <v>2.1</v>
      </c>
      <c r="AS32" s="143">
        <v>2</v>
      </c>
      <c r="AT32" s="143">
        <v>2.1</v>
      </c>
      <c r="AU32" s="143">
        <v>2.2999999999999998</v>
      </c>
      <c r="AV32" s="143">
        <v>2.8</v>
      </c>
      <c r="AW32" s="143">
        <v>3.4</v>
      </c>
      <c r="AX32" s="143">
        <v>4.0999999999999996</v>
      </c>
      <c r="AY32" s="143">
        <v>4.8</v>
      </c>
      <c r="AZ32" s="143">
        <v>5.3</v>
      </c>
      <c r="BA32" s="143">
        <v>5.5</v>
      </c>
      <c r="BB32" s="143">
        <v>5.5</v>
      </c>
      <c r="BC32" s="143">
        <v>5.2</v>
      </c>
      <c r="BD32" s="143">
        <v>4.8</v>
      </c>
      <c r="BE32" s="143">
        <v>4.5</v>
      </c>
      <c r="BF32" s="143">
        <v>4.2</v>
      </c>
      <c r="BG32" s="143">
        <v>4</v>
      </c>
      <c r="BH32" s="143">
        <v>3.8</v>
      </c>
      <c r="BI32" s="143">
        <v>3.8</v>
      </c>
      <c r="BJ32" s="143">
        <v>3.7</v>
      </c>
      <c r="BK32" s="143">
        <v>3.6</v>
      </c>
      <c r="BL32" s="143">
        <v>3.6</v>
      </c>
      <c r="BM32" s="143">
        <v>3.5</v>
      </c>
      <c r="BN32" s="143">
        <v>3.5</v>
      </c>
      <c r="BO32" s="143">
        <v>3.5</v>
      </c>
      <c r="BP32" s="143">
        <v>3.4</v>
      </c>
      <c r="BQ32" s="143">
        <v>3.3</v>
      </c>
      <c r="BR32" s="143">
        <v>3.2</v>
      </c>
      <c r="BS32" s="143">
        <v>3.1</v>
      </c>
      <c r="BT32" s="143">
        <v>3.1</v>
      </c>
      <c r="BU32" s="143">
        <v>3</v>
      </c>
      <c r="BV32" s="143">
        <v>3</v>
      </c>
      <c r="BW32" s="143">
        <v>3</v>
      </c>
      <c r="BX32" s="143">
        <v>3</v>
      </c>
      <c r="BY32" s="143">
        <v>3</v>
      </c>
      <c r="BZ32" s="143">
        <v>3</v>
      </c>
      <c r="CA32" s="143">
        <v>3</v>
      </c>
      <c r="CB32" s="143">
        <v>3</v>
      </c>
      <c r="CC32" s="143">
        <v>2.9</v>
      </c>
      <c r="CD32" s="143">
        <v>2.9</v>
      </c>
      <c r="CE32" s="143">
        <v>2.9</v>
      </c>
      <c r="CF32" s="143">
        <v>2.9</v>
      </c>
      <c r="CG32" s="143">
        <v>2.9</v>
      </c>
      <c r="CH32" s="143">
        <v>2.9</v>
      </c>
      <c r="CI32" s="143">
        <v>2.9</v>
      </c>
      <c r="CJ32" s="143">
        <v>2.9</v>
      </c>
      <c r="CK32" s="143">
        <v>2.9</v>
      </c>
      <c r="CL32" s="143">
        <v>2.9</v>
      </c>
      <c r="CM32" s="143">
        <v>2.9</v>
      </c>
      <c r="CN32" s="143">
        <v>2.8</v>
      </c>
      <c r="CO32" s="143">
        <v>2.8</v>
      </c>
      <c r="CP32" s="143">
        <v>2.8</v>
      </c>
      <c r="CQ32" s="143">
        <v>2.8</v>
      </c>
      <c r="CR32" s="143">
        <v>2.8</v>
      </c>
      <c r="CS32" s="143">
        <v>2.8</v>
      </c>
      <c r="CT32" s="143">
        <v>2.8</v>
      </c>
      <c r="CU32" s="143">
        <v>2.8</v>
      </c>
      <c r="CV32" s="143">
        <v>2.8</v>
      </c>
      <c r="CW32" s="144">
        <v>2.8</v>
      </c>
    </row>
    <row r="33" spans="1:101" x14ac:dyDescent="0.25">
      <c r="A33" s="100" t="s">
        <v>370</v>
      </c>
      <c r="CW33" s="140"/>
    </row>
    <row r="34" spans="1:101" x14ac:dyDescent="0.25">
      <c r="A34" s="99" t="s">
        <v>363</v>
      </c>
      <c r="B34" s="141">
        <v>0.79500000000000004</v>
      </c>
      <c r="C34" s="141">
        <v>0.79900000000000004</v>
      </c>
      <c r="D34" s="141">
        <v>0.80200000000000005</v>
      </c>
      <c r="E34" s="141">
        <v>0.80500000000000005</v>
      </c>
      <c r="F34" s="141">
        <v>0.81200000000000006</v>
      </c>
      <c r="G34" s="141">
        <v>0.81599999999999995</v>
      </c>
      <c r="H34" s="141">
        <v>0.81899999999999995</v>
      </c>
      <c r="I34" s="141">
        <v>0.82099999999999995</v>
      </c>
      <c r="J34" s="141">
        <v>0.82699999999999996</v>
      </c>
      <c r="K34" s="141">
        <v>0.83099999999999996</v>
      </c>
      <c r="L34" s="141">
        <v>0.83399999999999996</v>
      </c>
      <c r="M34" s="141">
        <v>0.83599999999999997</v>
      </c>
      <c r="N34" s="141">
        <v>0.84099999999999997</v>
      </c>
      <c r="O34" s="141">
        <v>0.84499999999999997</v>
      </c>
      <c r="P34" s="141">
        <v>0.84899999999999998</v>
      </c>
      <c r="Q34" s="141">
        <v>0.85</v>
      </c>
      <c r="R34" s="141">
        <v>0.85499999999999998</v>
      </c>
      <c r="S34" s="141">
        <v>0.86</v>
      </c>
      <c r="T34" s="141">
        <v>0.86399999999999999</v>
      </c>
      <c r="U34" s="141">
        <v>0.86599999999999999</v>
      </c>
      <c r="V34" s="141">
        <v>0.87</v>
      </c>
      <c r="W34" s="141">
        <v>0.874</v>
      </c>
      <c r="X34" s="141">
        <v>0.878</v>
      </c>
      <c r="Y34" s="141">
        <v>0.88</v>
      </c>
      <c r="Z34" s="141">
        <v>0.88500000000000001</v>
      </c>
      <c r="AA34" s="141">
        <v>0.89</v>
      </c>
      <c r="AB34" s="141">
        <v>0.89500000000000002</v>
      </c>
      <c r="AC34" s="141">
        <v>0.89900000000000002</v>
      </c>
      <c r="AD34" s="141">
        <v>0.90600000000000003</v>
      </c>
      <c r="AE34" s="141">
        <v>0.91100000000000003</v>
      </c>
      <c r="AF34" s="141">
        <v>0.91500000000000004</v>
      </c>
      <c r="AG34" s="141">
        <v>0.91900000000000004</v>
      </c>
      <c r="AH34" s="141">
        <v>0.92800000000000005</v>
      </c>
      <c r="AI34" s="141">
        <v>0.93300000000000005</v>
      </c>
      <c r="AJ34" s="141">
        <v>0.93899999999999995</v>
      </c>
      <c r="AK34" s="141">
        <v>0.94399999999999995</v>
      </c>
      <c r="AL34" s="141">
        <v>0.95</v>
      </c>
      <c r="AM34" s="141">
        <v>0.95599999999999996</v>
      </c>
      <c r="AN34" s="141">
        <v>0.96099999999999997</v>
      </c>
      <c r="AO34" s="141">
        <v>0.96499999999999997</v>
      </c>
      <c r="AP34" s="141">
        <v>0.97199999999999998</v>
      </c>
      <c r="AQ34" s="141">
        <v>0.97299999999999998</v>
      </c>
      <c r="AR34" s="141">
        <v>0.98</v>
      </c>
      <c r="AS34" s="141">
        <v>0.98499999999999999</v>
      </c>
      <c r="AT34" s="141">
        <v>0.995</v>
      </c>
      <c r="AU34" s="141">
        <v>1.004</v>
      </c>
      <c r="AV34" s="141">
        <v>1.0169999999999999</v>
      </c>
      <c r="AW34" s="141">
        <v>1.0289999999999999</v>
      </c>
      <c r="AX34" s="141">
        <v>1.046</v>
      </c>
      <c r="AY34" s="141">
        <v>1.0620000000000001</v>
      </c>
      <c r="AZ34" s="141">
        <v>1.075</v>
      </c>
      <c r="BA34" s="141">
        <v>1.085</v>
      </c>
      <c r="BB34" s="141">
        <v>1.099</v>
      </c>
      <c r="BC34" s="141">
        <v>1.1080000000000001</v>
      </c>
      <c r="BD34" s="141">
        <v>1.1200000000000001</v>
      </c>
      <c r="BE34" s="141">
        <v>1.127</v>
      </c>
      <c r="BF34" s="141">
        <v>1.141</v>
      </c>
      <c r="BG34" s="141">
        <v>1.151</v>
      </c>
      <c r="BH34" s="141">
        <v>1.1599999999999999</v>
      </c>
      <c r="BI34" s="141">
        <v>1.1679999999999999</v>
      </c>
      <c r="BJ34" s="141">
        <v>1.18</v>
      </c>
      <c r="BK34" s="141">
        <v>1.19</v>
      </c>
      <c r="BL34" s="141">
        <v>1.1990000000000001</v>
      </c>
      <c r="BM34" s="141">
        <v>1.206</v>
      </c>
      <c r="BN34" s="141">
        <v>1.2190000000000001</v>
      </c>
      <c r="BO34" s="141">
        <v>1.2270000000000001</v>
      </c>
      <c r="BP34" s="141">
        <v>1.236</v>
      </c>
      <c r="BQ34" s="141">
        <v>1.2430000000000001</v>
      </c>
      <c r="BR34" s="141">
        <v>1.256</v>
      </c>
      <c r="BS34" s="141">
        <v>1.2649999999999999</v>
      </c>
      <c r="BT34" s="141">
        <v>1.2729999999999999</v>
      </c>
      <c r="BU34" s="141">
        <v>1.28</v>
      </c>
      <c r="BV34" s="141">
        <v>1.2929999999999999</v>
      </c>
      <c r="BW34" s="141">
        <v>1.302</v>
      </c>
      <c r="BX34" s="141">
        <v>1.3109999999999999</v>
      </c>
      <c r="BY34" s="141">
        <v>1.3180000000000001</v>
      </c>
      <c r="BZ34" s="141">
        <v>1.331</v>
      </c>
      <c r="CA34" s="141">
        <v>1.34</v>
      </c>
      <c r="CB34" s="141">
        <v>1.349</v>
      </c>
      <c r="CC34" s="141">
        <v>1.357</v>
      </c>
      <c r="CD34" s="141">
        <v>1.369</v>
      </c>
      <c r="CE34" s="141">
        <v>1.379</v>
      </c>
      <c r="CF34" s="141">
        <v>1.389</v>
      </c>
      <c r="CG34" s="141">
        <v>1.3959999999999999</v>
      </c>
      <c r="CH34" s="141">
        <v>1.409</v>
      </c>
      <c r="CI34" s="141">
        <v>1.4179999999999999</v>
      </c>
      <c r="CJ34" s="141">
        <v>1.4279999999999999</v>
      </c>
      <c r="CK34" s="141">
        <v>1.4359999999999999</v>
      </c>
      <c r="CL34" s="141">
        <v>1.4490000000000001</v>
      </c>
      <c r="CM34" s="141">
        <v>1.4590000000000001</v>
      </c>
      <c r="CN34" s="141">
        <v>1.4690000000000001</v>
      </c>
      <c r="CO34" s="141">
        <v>1.476</v>
      </c>
      <c r="CP34" s="141">
        <v>1.49</v>
      </c>
      <c r="CQ34" s="141">
        <v>1.4990000000000001</v>
      </c>
      <c r="CR34" s="141">
        <v>1.51</v>
      </c>
      <c r="CS34" s="141">
        <v>1.518</v>
      </c>
      <c r="CT34" s="141">
        <v>1.532</v>
      </c>
      <c r="CU34" s="141">
        <v>1.542</v>
      </c>
      <c r="CV34" s="141">
        <v>1.5529999999999999</v>
      </c>
      <c r="CW34" s="142">
        <v>1.5609999999999999</v>
      </c>
    </row>
    <row r="35" spans="1:101" x14ac:dyDescent="0.25">
      <c r="A35" s="99" t="s">
        <v>364</v>
      </c>
      <c r="B35" s="143">
        <v>1.6</v>
      </c>
      <c r="C35" s="143">
        <v>1.7</v>
      </c>
      <c r="D35" s="143">
        <v>1.8</v>
      </c>
      <c r="E35" s="143">
        <v>1.9</v>
      </c>
      <c r="F35" s="143">
        <v>1.9</v>
      </c>
      <c r="G35" s="143">
        <v>2</v>
      </c>
      <c r="H35" s="143">
        <v>2</v>
      </c>
      <c r="I35" s="143">
        <v>2</v>
      </c>
      <c r="J35" s="143">
        <v>2</v>
      </c>
      <c r="K35" s="143">
        <v>1.9</v>
      </c>
      <c r="L35" s="143">
        <v>1.8</v>
      </c>
      <c r="M35" s="143">
        <v>1.8</v>
      </c>
      <c r="N35" s="143">
        <v>1.8</v>
      </c>
      <c r="O35" s="143">
        <v>1.8</v>
      </c>
      <c r="P35" s="143">
        <v>1.8</v>
      </c>
      <c r="Q35" s="143">
        <v>1.8</v>
      </c>
      <c r="R35" s="143">
        <v>1.7</v>
      </c>
      <c r="S35" s="143">
        <v>1.7</v>
      </c>
      <c r="T35" s="143">
        <v>1.7</v>
      </c>
      <c r="U35" s="143">
        <v>1.7</v>
      </c>
      <c r="V35" s="143">
        <v>1.8</v>
      </c>
      <c r="W35" s="143">
        <v>1.7</v>
      </c>
      <c r="X35" s="143">
        <v>1.7</v>
      </c>
      <c r="Y35" s="143">
        <v>1.6</v>
      </c>
      <c r="Z35" s="143">
        <v>1.6</v>
      </c>
      <c r="AA35" s="143">
        <v>1.7</v>
      </c>
      <c r="AB35" s="143">
        <v>1.8</v>
      </c>
      <c r="AC35" s="143">
        <v>1.9</v>
      </c>
      <c r="AD35" s="143">
        <v>2.1</v>
      </c>
      <c r="AE35" s="143">
        <v>2.2000000000000002</v>
      </c>
      <c r="AF35" s="143">
        <v>2.2999999999999998</v>
      </c>
      <c r="AG35" s="143">
        <v>2.2999999999999998</v>
      </c>
      <c r="AH35" s="143">
        <v>2.2999999999999998</v>
      </c>
      <c r="AI35" s="143">
        <v>2.4</v>
      </c>
      <c r="AJ35" s="143">
        <v>2.4</v>
      </c>
      <c r="AK35" s="143">
        <v>2.6</v>
      </c>
      <c r="AL35" s="143">
        <v>2.5</v>
      </c>
      <c r="AM35" s="143">
        <v>2.5</v>
      </c>
      <c r="AN35" s="143">
        <v>2.4</v>
      </c>
      <c r="AO35" s="143">
        <v>2.2999999999999998</v>
      </c>
      <c r="AP35" s="143">
        <v>2.2999999999999998</v>
      </c>
      <c r="AQ35" s="143">
        <v>2.2000000000000002</v>
      </c>
      <c r="AR35" s="143">
        <v>2.1</v>
      </c>
      <c r="AS35" s="143">
        <v>2.1</v>
      </c>
      <c r="AT35" s="143">
        <v>2.1</v>
      </c>
      <c r="AU35" s="143">
        <v>2.4</v>
      </c>
      <c r="AV35" s="143">
        <v>2.8</v>
      </c>
      <c r="AW35" s="143">
        <v>3.5</v>
      </c>
      <c r="AX35" s="143">
        <v>4.0999999999999996</v>
      </c>
      <c r="AY35" s="143">
        <v>4.8</v>
      </c>
      <c r="AZ35" s="143">
        <v>5.3</v>
      </c>
      <c r="BA35" s="143">
        <v>5.5</v>
      </c>
      <c r="BB35" s="143">
        <v>5.5</v>
      </c>
      <c r="BC35" s="143">
        <v>5.0999999999999996</v>
      </c>
      <c r="BD35" s="143">
        <v>4.8</v>
      </c>
      <c r="BE35" s="143">
        <v>4.4000000000000004</v>
      </c>
      <c r="BF35" s="143">
        <v>4.0999999999999996</v>
      </c>
      <c r="BG35" s="143">
        <v>3.9</v>
      </c>
      <c r="BH35" s="143">
        <v>3.8</v>
      </c>
      <c r="BI35" s="143">
        <v>3.7</v>
      </c>
      <c r="BJ35" s="143">
        <v>3.6</v>
      </c>
      <c r="BK35" s="143">
        <v>3.5</v>
      </c>
      <c r="BL35" s="143">
        <v>3.5</v>
      </c>
      <c r="BM35" s="143">
        <v>3.4</v>
      </c>
      <c r="BN35" s="143">
        <v>3.3</v>
      </c>
      <c r="BO35" s="143">
        <v>3.3</v>
      </c>
      <c r="BP35" s="143">
        <v>3.2</v>
      </c>
      <c r="BQ35" s="143">
        <v>3.1</v>
      </c>
      <c r="BR35" s="143">
        <v>3.1</v>
      </c>
      <c r="BS35" s="143">
        <v>3.1</v>
      </c>
      <c r="BT35" s="143">
        <v>3.1</v>
      </c>
      <c r="BU35" s="143">
        <v>3</v>
      </c>
      <c r="BV35" s="143">
        <v>3</v>
      </c>
      <c r="BW35" s="143">
        <v>3</v>
      </c>
      <c r="BX35" s="143">
        <v>2.9</v>
      </c>
      <c r="BY35" s="143">
        <v>2.9</v>
      </c>
      <c r="BZ35" s="143">
        <v>2.9</v>
      </c>
      <c r="CA35" s="143">
        <v>2.9</v>
      </c>
      <c r="CB35" s="143">
        <v>2.9</v>
      </c>
      <c r="CC35" s="143">
        <v>2.9</v>
      </c>
      <c r="CD35" s="143">
        <v>2.9</v>
      </c>
      <c r="CE35" s="143">
        <v>2.9</v>
      </c>
      <c r="CF35" s="143">
        <v>2.9</v>
      </c>
      <c r="CG35" s="143">
        <v>2.9</v>
      </c>
      <c r="CH35" s="143">
        <v>2.9</v>
      </c>
      <c r="CI35" s="143">
        <v>2.9</v>
      </c>
      <c r="CJ35" s="143">
        <v>2.9</v>
      </c>
      <c r="CK35" s="143">
        <v>2.9</v>
      </c>
      <c r="CL35" s="143">
        <v>2.9</v>
      </c>
      <c r="CM35" s="143">
        <v>2.9</v>
      </c>
      <c r="CN35" s="143">
        <v>2.8</v>
      </c>
      <c r="CO35" s="143">
        <v>2.8</v>
      </c>
      <c r="CP35" s="143">
        <v>2.8</v>
      </c>
      <c r="CQ35" s="143">
        <v>2.8</v>
      </c>
      <c r="CR35" s="143">
        <v>2.8</v>
      </c>
      <c r="CS35" s="143">
        <v>2.8</v>
      </c>
      <c r="CT35" s="143">
        <v>2.8</v>
      </c>
      <c r="CU35" s="143">
        <v>2.8</v>
      </c>
      <c r="CV35" s="143">
        <v>2.8</v>
      </c>
      <c r="CW35" s="144">
        <v>2.8</v>
      </c>
    </row>
    <row r="36" spans="1:101" x14ac:dyDescent="0.25">
      <c r="A36" s="98" t="s">
        <v>371</v>
      </c>
      <c r="CW36" s="140"/>
    </row>
    <row r="37" spans="1:101" x14ac:dyDescent="0.25">
      <c r="A37" s="99" t="s">
        <v>363</v>
      </c>
      <c r="B37" s="141">
        <v>0.75700000000000001</v>
      </c>
      <c r="C37" s="141">
        <v>0.76100000000000001</v>
      </c>
      <c r="D37" s="141">
        <v>0.76400000000000001</v>
      </c>
      <c r="E37" s="141">
        <v>0.76700000000000002</v>
      </c>
      <c r="F37" s="141">
        <v>0.77200000000000002</v>
      </c>
      <c r="G37" s="141">
        <v>0.77600000000000002</v>
      </c>
      <c r="H37" s="141">
        <v>0.77900000000000003</v>
      </c>
      <c r="I37" s="141">
        <v>0.78200000000000003</v>
      </c>
      <c r="J37" s="141">
        <v>0.78700000000000003</v>
      </c>
      <c r="K37" s="141">
        <v>0.78900000000000003</v>
      </c>
      <c r="L37" s="141">
        <v>0.79300000000000004</v>
      </c>
      <c r="M37" s="141">
        <v>0.79500000000000004</v>
      </c>
      <c r="N37" s="141">
        <v>0.8</v>
      </c>
      <c r="O37" s="141">
        <v>0.80400000000000005</v>
      </c>
      <c r="P37" s="141">
        <v>0.80700000000000005</v>
      </c>
      <c r="Q37" s="141">
        <v>0.80900000000000005</v>
      </c>
      <c r="R37" s="141">
        <v>0.81299999999999994</v>
      </c>
      <c r="S37" s="141">
        <v>0.81699999999999995</v>
      </c>
      <c r="T37" s="141">
        <v>0.82099999999999995</v>
      </c>
      <c r="U37" s="141">
        <v>0.82399999999999995</v>
      </c>
      <c r="V37" s="141">
        <v>0.82799999999999996</v>
      </c>
      <c r="W37" s="141">
        <v>0.83199999999999996</v>
      </c>
      <c r="X37" s="141">
        <v>0.83599999999999997</v>
      </c>
      <c r="Y37" s="141">
        <v>0.83899999999999997</v>
      </c>
      <c r="Z37" s="141">
        <v>0.84399999999999997</v>
      </c>
      <c r="AA37" s="141">
        <v>0.84899999999999998</v>
      </c>
      <c r="AB37" s="141">
        <v>0.85399999999999998</v>
      </c>
      <c r="AC37" s="141">
        <v>0.85799999999999998</v>
      </c>
      <c r="AD37" s="141">
        <v>0.86399999999999999</v>
      </c>
      <c r="AE37" s="141">
        <v>0.86899999999999999</v>
      </c>
      <c r="AF37" s="141">
        <v>0.873</v>
      </c>
      <c r="AG37" s="141">
        <v>0.877</v>
      </c>
      <c r="AH37" s="141">
        <v>0.88300000000000001</v>
      </c>
      <c r="AI37" s="141">
        <v>0.88900000000000001</v>
      </c>
      <c r="AJ37" s="141">
        <v>0.89200000000000002</v>
      </c>
      <c r="AK37" s="141">
        <v>0.89900000000000002</v>
      </c>
      <c r="AL37" s="141">
        <v>0.90400000000000003</v>
      </c>
      <c r="AM37" s="141">
        <v>0.90900000000000003</v>
      </c>
      <c r="AN37" s="141">
        <v>0.91400000000000003</v>
      </c>
      <c r="AO37" s="141">
        <v>0.91900000000000004</v>
      </c>
      <c r="AP37" s="141">
        <v>0.92500000000000004</v>
      </c>
      <c r="AQ37" s="141">
        <v>0.92900000000000005</v>
      </c>
      <c r="AR37" s="141">
        <v>0.93300000000000005</v>
      </c>
      <c r="AS37" s="141">
        <v>0.93700000000000006</v>
      </c>
      <c r="AT37" s="141">
        <v>0.94699999999999995</v>
      </c>
      <c r="AU37" s="141">
        <v>0.95499999999999996</v>
      </c>
      <c r="AV37" s="141">
        <v>0.96499999999999997</v>
      </c>
      <c r="AW37" s="141">
        <v>0.97899999999999998</v>
      </c>
      <c r="AX37" s="141">
        <v>0.99399999999999999</v>
      </c>
      <c r="AY37" s="141">
        <v>1.0069999999999999</v>
      </c>
      <c r="AZ37" s="141">
        <v>1.0209999999999999</v>
      </c>
      <c r="BA37" s="141">
        <v>1.032</v>
      </c>
      <c r="BB37" s="141">
        <v>1.0469999999999999</v>
      </c>
      <c r="BC37" s="141">
        <v>1.056</v>
      </c>
      <c r="BD37" s="141">
        <v>1.0680000000000001</v>
      </c>
      <c r="BE37" s="141">
        <v>1.0760000000000001</v>
      </c>
      <c r="BF37" s="141">
        <v>1.0900000000000001</v>
      </c>
      <c r="BG37" s="141">
        <v>1.0980000000000001</v>
      </c>
      <c r="BH37" s="141">
        <v>1.1080000000000001</v>
      </c>
      <c r="BI37" s="141">
        <v>1.117</v>
      </c>
      <c r="BJ37" s="141">
        <v>1.1279999999999999</v>
      </c>
      <c r="BK37" s="141">
        <v>1.1379999999999999</v>
      </c>
      <c r="BL37" s="141">
        <v>1.1479999999999999</v>
      </c>
      <c r="BM37" s="141">
        <v>1.1559999999999999</v>
      </c>
      <c r="BN37" s="141">
        <v>1.167</v>
      </c>
      <c r="BO37" s="141">
        <v>1.175</v>
      </c>
      <c r="BP37" s="141">
        <v>1.1850000000000001</v>
      </c>
      <c r="BQ37" s="141">
        <v>1.1919999999999999</v>
      </c>
      <c r="BR37" s="141">
        <v>1.2030000000000001</v>
      </c>
      <c r="BS37" s="141">
        <v>1.212</v>
      </c>
      <c r="BT37" s="141">
        <v>1.2210000000000001</v>
      </c>
      <c r="BU37" s="141">
        <v>1.228</v>
      </c>
      <c r="BV37" s="141">
        <v>1.2390000000000001</v>
      </c>
      <c r="BW37" s="141">
        <v>1.248</v>
      </c>
      <c r="BX37" s="141">
        <v>1.2569999999999999</v>
      </c>
      <c r="BY37" s="141">
        <v>1.2649999999999999</v>
      </c>
      <c r="BZ37" s="141">
        <v>1.276</v>
      </c>
      <c r="CA37" s="141">
        <v>1.284</v>
      </c>
      <c r="CB37" s="141">
        <v>1.294</v>
      </c>
      <c r="CC37" s="141">
        <v>1.302</v>
      </c>
      <c r="CD37" s="141">
        <v>1.3129999999999999</v>
      </c>
      <c r="CE37" s="141">
        <v>1.321</v>
      </c>
      <c r="CF37" s="141">
        <v>1.331</v>
      </c>
      <c r="CG37" s="141">
        <v>1.339</v>
      </c>
      <c r="CH37" s="141">
        <v>1.351</v>
      </c>
      <c r="CI37" s="141">
        <v>1.359</v>
      </c>
      <c r="CJ37" s="141">
        <v>1.369</v>
      </c>
      <c r="CK37" s="141">
        <v>1.377</v>
      </c>
      <c r="CL37" s="141">
        <v>1.389</v>
      </c>
      <c r="CM37" s="141">
        <v>1.3979999999999999</v>
      </c>
      <c r="CN37" s="141">
        <v>1.4079999999999999</v>
      </c>
      <c r="CO37" s="141">
        <v>1.4159999999999999</v>
      </c>
      <c r="CP37" s="141">
        <v>1.4279999999999999</v>
      </c>
      <c r="CQ37" s="141">
        <v>1.4370000000000001</v>
      </c>
      <c r="CR37" s="141">
        <v>1.448</v>
      </c>
      <c r="CS37" s="141">
        <v>1.456</v>
      </c>
      <c r="CT37" s="141">
        <v>1.468</v>
      </c>
      <c r="CU37" s="141">
        <v>1.478</v>
      </c>
      <c r="CV37" s="141">
        <v>1.4890000000000001</v>
      </c>
      <c r="CW37" s="142">
        <v>1.4970000000000001</v>
      </c>
    </row>
    <row r="38" spans="1:101" x14ac:dyDescent="0.25">
      <c r="A38" s="99" t="s">
        <v>364</v>
      </c>
      <c r="B38" s="143" t="s">
        <v>367</v>
      </c>
      <c r="C38" s="143" t="s">
        <v>367</v>
      </c>
      <c r="D38" s="143" t="s">
        <v>367</v>
      </c>
      <c r="E38" s="143" t="s">
        <v>367</v>
      </c>
      <c r="F38" s="143" t="s">
        <v>367</v>
      </c>
      <c r="G38" s="143">
        <v>1.9</v>
      </c>
      <c r="H38" s="143">
        <v>2</v>
      </c>
      <c r="I38" s="143">
        <v>2</v>
      </c>
      <c r="J38" s="143">
        <v>1.9</v>
      </c>
      <c r="K38" s="143">
        <v>1.8</v>
      </c>
      <c r="L38" s="143">
        <v>1.8</v>
      </c>
      <c r="M38" s="143">
        <v>1.8</v>
      </c>
      <c r="N38" s="143">
        <v>1.7</v>
      </c>
      <c r="O38" s="143">
        <v>1.8</v>
      </c>
      <c r="P38" s="143">
        <v>1.8</v>
      </c>
      <c r="Q38" s="143">
        <v>1.8</v>
      </c>
      <c r="R38" s="143">
        <v>1.8</v>
      </c>
      <c r="S38" s="143">
        <v>1.7</v>
      </c>
      <c r="T38" s="143">
        <v>1.7</v>
      </c>
      <c r="U38" s="143">
        <v>1.7</v>
      </c>
      <c r="V38" s="143">
        <v>1.7</v>
      </c>
      <c r="W38" s="143">
        <v>1.8</v>
      </c>
      <c r="X38" s="143">
        <v>1.8</v>
      </c>
      <c r="Y38" s="143">
        <v>1.8</v>
      </c>
      <c r="Z38" s="143">
        <v>1.9</v>
      </c>
      <c r="AA38" s="143">
        <v>1.9</v>
      </c>
      <c r="AB38" s="143">
        <v>2</v>
      </c>
      <c r="AC38" s="143">
        <v>2.1</v>
      </c>
      <c r="AD38" s="143">
        <v>2.2000000000000002</v>
      </c>
      <c r="AE38" s="143">
        <v>2.2999999999999998</v>
      </c>
      <c r="AF38" s="143">
        <v>2.2999999999999998</v>
      </c>
      <c r="AG38" s="143">
        <v>2.2999999999999998</v>
      </c>
      <c r="AH38" s="143">
        <v>2.2000000000000002</v>
      </c>
      <c r="AI38" s="143">
        <v>2.2000000000000002</v>
      </c>
      <c r="AJ38" s="143">
        <v>2.2000000000000002</v>
      </c>
      <c r="AK38" s="143">
        <v>2.2999999999999998</v>
      </c>
      <c r="AL38" s="143">
        <v>2.4</v>
      </c>
      <c r="AM38" s="143">
        <v>2.4</v>
      </c>
      <c r="AN38" s="143">
        <v>2.4</v>
      </c>
      <c r="AO38" s="143">
        <v>2.2999999999999998</v>
      </c>
      <c r="AP38" s="143">
        <v>2.2999999999999998</v>
      </c>
      <c r="AQ38" s="143">
        <v>2.2999999999999998</v>
      </c>
      <c r="AR38" s="143">
        <v>2.2000000000000002</v>
      </c>
      <c r="AS38" s="143">
        <v>2.1</v>
      </c>
      <c r="AT38" s="143">
        <v>2.1</v>
      </c>
      <c r="AU38" s="143">
        <v>2.2999999999999998</v>
      </c>
      <c r="AV38" s="143">
        <v>2.6</v>
      </c>
      <c r="AW38" s="143">
        <v>3.3</v>
      </c>
      <c r="AX38" s="143">
        <v>3.9</v>
      </c>
      <c r="AY38" s="143">
        <v>4.5999999999999996</v>
      </c>
      <c r="AZ38" s="143">
        <v>5.0999999999999996</v>
      </c>
      <c r="BA38" s="143">
        <v>5.4</v>
      </c>
      <c r="BB38" s="143">
        <v>5.5</v>
      </c>
      <c r="BC38" s="143">
        <v>5.4</v>
      </c>
      <c r="BD38" s="143">
        <v>5.0999999999999996</v>
      </c>
      <c r="BE38" s="143">
        <v>4.8</v>
      </c>
      <c r="BF38" s="143">
        <v>4.4000000000000004</v>
      </c>
      <c r="BG38" s="143">
        <v>4.2</v>
      </c>
      <c r="BH38" s="143">
        <v>4</v>
      </c>
      <c r="BI38" s="143">
        <v>3.9</v>
      </c>
      <c r="BJ38" s="143">
        <v>3.8</v>
      </c>
      <c r="BK38" s="143">
        <v>3.7</v>
      </c>
      <c r="BL38" s="143">
        <v>3.6</v>
      </c>
      <c r="BM38" s="143">
        <v>3.6</v>
      </c>
      <c r="BN38" s="143">
        <v>3.6</v>
      </c>
      <c r="BO38" s="143">
        <v>3.5</v>
      </c>
      <c r="BP38" s="143">
        <v>3.4</v>
      </c>
      <c r="BQ38" s="143">
        <v>3.3</v>
      </c>
      <c r="BR38" s="143">
        <v>3.2</v>
      </c>
      <c r="BS38" s="143">
        <v>3.1</v>
      </c>
      <c r="BT38" s="143">
        <v>3.1</v>
      </c>
      <c r="BU38" s="143">
        <v>3.1</v>
      </c>
      <c r="BV38" s="143">
        <v>3</v>
      </c>
      <c r="BW38" s="143">
        <v>3</v>
      </c>
      <c r="BX38" s="143">
        <v>3</v>
      </c>
      <c r="BY38" s="143">
        <v>3</v>
      </c>
      <c r="BZ38" s="143">
        <v>3</v>
      </c>
      <c r="CA38" s="143">
        <v>3</v>
      </c>
      <c r="CB38" s="143">
        <v>2.9</v>
      </c>
      <c r="CC38" s="143">
        <v>2.9</v>
      </c>
      <c r="CD38" s="143">
        <v>2.9</v>
      </c>
      <c r="CE38" s="143">
        <v>2.9</v>
      </c>
      <c r="CF38" s="143">
        <v>2.9</v>
      </c>
      <c r="CG38" s="143">
        <v>2.9</v>
      </c>
      <c r="CH38" s="143">
        <v>2.9</v>
      </c>
      <c r="CI38" s="143">
        <v>2.9</v>
      </c>
      <c r="CJ38" s="143">
        <v>2.9</v>
      </c>
      <c r="CK38" s="143">
        <v>2.9</v>
      </c>
      <c r="CL38" s="143">
        <v>2.9</v>
      </c>
      <c r="CM38" s="143">
        <v>2.9</v>
      </c>
      <c r="CN38" s="143">
        <v>2.8</v>
      </c>
      <c r="CO38" s="143">
        <v>2.8</v>
      </c>
      <c r="CP38" s="143">
        <v>2.8</v>
      </c>
      <c r="CQ38" s="143">
        <v>2.8</v>
      </c>
      <c r="CR38" s="143">
        <v>2.8</v>
      </c>
      <c r="CS38" s="143">
        <v>2.8</v>
      </c>
      <c r="CT38" s="143">
        <v>2.8</v>
      </c>
      <c r="CU38" s="143">
        <v>2.8</v>
      </c>
      <c r="CV38" s="143">
        <v>2.8</v>
      </c>
      <c r="CW38" s="144">
        <v>2.8</v>
      </c>
    </row>
    <row r="39" spans="1:101" x14ac:dyDescent="0.25">
      <c r="A39" s="100" t="s">
        <v>372</v>
      </c>
      <c r="CW39" s="140"/>
    </row>
    <row r="40" spans="1:101" x14ac:dyDescent="0.25">
      <c r="A40" s="99" t="s">
        <v>363</v>
      </c>
      <c r="B40" s="141">
        <v>0.83399999999999996</v>
      </c>
      <c r="C40" s="141">
        <v>0.83799999999999997</v>
      </c>
      <c r="D40" s="141">
        <v>0.84099999999999997</v>
      </c>
      <c r="E40" s="141">
        <v>0.84299999999999997</v>
      </c>
      <c r="F40" s="141">
        <v>0.84699999999999998</v>
      </c>
      <c r="G40" s="141">
        <v>0.85</v>
      </c>
      <c r="H40" s="141">
        <v>0.85399999999999998</v>
      </c>
      <c r="I40" s="141">
        <v>0.85599999999999998</v>
      </c>
      <c r="J40" s="141">
        <v>0.86099999999999999</v>
      </c>
      <c r="K40" s="141">
        <v>0.86299999999999999</v>
      </c>
      <c r="L40" s="141">
        <v>0.86599999999999999</v>
      </c>
      <c r="M40" s="141">
        <v>0.86799999999999999</v>
      </c>
      <c r="N40" s="141">
        <v>0.872</v>
      </c>
      <c r="O40" s="141">
        <v>0.876</v>
      </c>
      <c r="P40" s="141">
        <v>0.879</v>
      </c>
      <c r="Q40" s="141">
        <v>0.88100000000000001</v>
      </c>
      <c r="R40" s="141">
        <v>0.88500000000000001</v>
      </c>
      <c r="S40" s="141">
        <v>0.88900000000000001</v>
      </c>
      <c r="T40" s="141">
        <v>0.89300000000000002</v>
      </c>
      <c r="U40" s="141">
        <v>0.89600000000000002</v>
      </c>
      <c r="V40" s="141">
        <v>0.90300000000000002</v>
      </c>
      <c r="W40" s="141">
        <v>0.90700000000000003</v>
      </c>
      <c r="X40" s="141">
        <v>0.91100000000000003</v>
      </c>
      <c r="Y40" s="141">
        <v>0.91300000000000003</v>
      </c>
      <c r="Z40" s="141">
        <v>0.92</v>
      </c>
      <c r="AA40" s="141">
        <v>0.92500000000000004</v>
      </c>
      <c r="AB40" s="141">
        <v>0.92800000000000005</v>
      </c>
      <c r="AC40" s="141">
        <v>0.93200000000000005</v>
      </c>
      <c r="AD40" s="141">
        <v>0.93799999999999994</v>
      </c>
      <c r="AE40" s="141">
        <v>0.94</v>
      </c>
      <c r="AF40" s="141">
        <v>0.94299999999999995</v>
      </c>
      <c r="AG40" s="141">
        <v>0.94699999999999995</v>
      </c>
      <c r="AH40" s="141">
        <v>0.95299999999999996</v>
      </c>
      <c r="AI40" s="141">
        <v>0.95599999999999996</v>
      </c>
      <c r="AJ40" s="141">
        <v>0.96199999999999997</v>
      </c>
      <c r="AK40" s="141">
        <v>0.96699999999999997</v>
      </c>
      <c r="AL40" s="141">
        <v>0.97499999999999998</v>
      </c>
      <c r="AM40" s="141">
        <v>0.97799999999999998</v>
      </c>
      <c r="AN40" s="141">
        <v>0.98399999999999999</v>
      </c>
      <c r="AO40" s="141">
        <v>0.98699999999999999</v>
      </c>
      <c r="AP40" s="141">
        <v>0.99399999999999999</v>
      </c>
      <c r="AQ40" s="141">
        <v>0.996</v>
      </c>
      <c r="AR40" s="141">
        <v>1.0029999999999999</v>
      </c>
      <c r="AS40" s="141">
        <v>1.0069999999999999</v>
      </c>
      <c r="AT40" s="141">
        <v>1.0149999999999999</v>
      </c>
      <c r="AU40" s="141">
        <v>1.0229999999999999</v>
      </c>
      <c r="AV40" s="141">
        <v>1.0349999999999999</v>
      </c>
      <c r="AW40" s="141">
        <v>1.0449999999999999</v>
      </c>
      <c r="AX40" s="141">
        <v>1.0620000000000001</v>
      </c>
      <c r="AY40" s="141">
        <v>1.075</v>
      </c>
      <c r="AZ40" s="141">
        <v>1.0900000000000001</v>
      </c>
      <c r="BA40" s="141">
        <v>1.1000000000000001</v>
      </c>
      <c r="BB40" s="141">
        <v>1.113</v>
      </c>
      <c r="BC40" s="141">
        <v>1.1200000000000001</v>
      </c>
      <c r="BD40" s="141">
        <v>1.133</v>
      </c>
      <c r="BE40" s="141">
        <v>1.139</v>
      </c>
      <c r="BF40" s="141">
        <v>1.153</v>
      </c>
      <c r="BG40" s="141">
        <v>1.159</v>
      </c>
      <c r="BH40" s="141">
        <v>1.169</v>
      </c>
      <c r="BI40" s="141">
        <v>1.1759999999999999</v>
      </c>
      <c r="BJ40" s="141">
        <v>1.1850000000000001</v>
      </c>
      <c r="BK40" s="141">
        <v>1.194</v>
      </c>
      <c r="BL40" s="141">
        <v>1.2030000000000001</v>
      </c>
      <c r="BM40" s="141">
        <v>1.21</v>
      </c>
      <c r="BN40" s="141">
        <v>1.2190000000000001</v>
      </c>
      <c r="BO40" s="141">
        <v>1.226</v>
      </c>
      <c r="BP40" s="141">
        <v>1.2330000000000001</v>
      </c>
      <c r="BQ40" s="141">
        <v>1.238</v>
      </c>
      <c r="BR40" s="141">
        <v>1.248</v>
      </c>
      <c r="BS40" s="141">
        <v>1.254</v>
      </c>
      <c r="BT40" s="141">
        <v>1.2609999999999999</v>
      </c>
      <c r="BU40" s="141">
        <v>1.266</v>
      </c>
      <c r="BV40" s="141">
        <v>1.2749999999999999</v>
      </c>
      <c r="BW40" s="141">
        <v>1.2809999999999999</v>
      </c>
      <c r="BX40" s="141">
        <v>1.2889999999999999</v>
      </c>
      <c r="BY40" s="141">
        <v>1.294</v>
      </c>
      <c r="BZ40" s="141">
        <v>1.3029999999999999</v>
      </c>
      <c r="CA40" s="141">
        <v>1.31</v>
      </c>
      <c r="CB40" s="141">
        <v>1.319</v>
      </c>
      <c r="CC40" s="141">
        <v>1.325</v>
      </c>
      <c r="CD40" s="141">
        <v>1.3340000000000001</v>
      </c>
      <c r="CE40" s="141">
        <v>1.341</v>
      </c>
      <c r="CF40" s="141">
        <v>1.349</v>
      </c>
      <c r="CG40" s="141">
        <v>1.3560000000000001</v>
      </c>
      <c r="CH40" s="141">
        <v>1.365</v>
      </c>
      <c r="CI40" s="141">
        <v>1.373</v>
      </c>
      <c r="CJ40" s="141">
        <v>1.381</v>
      </c>
      <c r="CK40" s="141">
        <v>1.3879999999999999</v>
      </c>
      <c r="CL40" s="141">
        <v>1.3979999999999999</v>
      </c>
      <c r="CM40" s="141">
        <v>1.405</v>
      </c>
      <c r="CN40" s="141">
        <v>1.4139999999999999</v>
      </c>
      <c r="CO40" s="141">
        <v>1.42</v>
      </c>
      <c r="CP40" s="141">
        <v>1.43</v>
      </c>
      <c r="CQ40" s="141">
        <v>1.4379999999999999</v>
      </c>
      <c r="CR40" s="141">
        <v>1.4470000000000001</v>
      </c>
      <c r="CS40" s="141">
        <v>1.454</v>
      </c>
      <c r="CT40" s="141">
        <v>1.464</v>
      </c>
      <c r="CU40" s="141">
        <v>1.472</v>
      </c>
      <c r="CV40" s="141">
        <v>1.4810000000000001</v>
      </c>
      <c r="CW40" s="142">
        <v>1.488</v>
      </c>
    </row>
    <row r="41" spans="1:101" x14ac:dyDescent="0.25">
      <c r="A41" s="99" t="s">
        <v>364</v>
      </c>
      <c r="B41" s="143" t="s">
        <v>367</v>
      </c>
      <c r="C41" s="143" t="s">
        <v>367</v>
      </c>
      <c r="D41" s="143" t="s">
        <v>367</v>
      </c>
      <c r="E41" s="143" t="s">
        <v>367</v>
      </c>
      <c r="F41" s="143">
        <v>1.5</v>
      </c>
      <c r="G41" s="143">
        <v>1.5</v>
      </c>
      <c r="H41" s="143">
        <v>1.5</v>
      </c>
      <c r="I41" s="143">
        <v>1.5</v>
      </c>
      <c r="J41" s="143">
        <v>1.5</v>
      </c>
      <c r="K41" s="143">
        <v>1.6</v>
      </c>
      <c r="L41" s="143">
        <v>1.5</v>
      </c>
      <c r="M41" s="143">
        <v>1.5</v>
      </c>
      <c r="N41" s="143">
        <v>1.4</v>
      </c>
      <c r="O41" s="143">
        <v>1.4</v>
      </c>
      <c r="P41" s="143">
        <v>1.4</v>
      </c>
      <c r="Q41" s="143">
        <v>1.5</v>
      </c>
      <c r="R41" s="143">
        <v>1.5</v>
      </c>
      <c r="S41" s="143">
        <v>1.5</v>
      </c>
      <c r="T41" s="143">
        <v>1.5</v>
      </c>
      <c r="U41" s="143">
        <v>1.6</v>
      </c>
      <c r="V41" s="143">
        <v>1.7</v>
      </c>
      <c r="W41" s="143">
        <v>1.9</v>
      </c>
      <c r="X41" s="143">
        <v>2</v>
      </c>
      <c r="Y41" s="143">
        <v>2</v>
      </c>
      <c r="Z41" s="143">
        <v>2</v>
      </c>
      <c r="AA41" s="143">
        <v>2</v>
      </c>
      <c r="AB41" s="143">
        <v>1.9</v>
      </c>
      <c r="AC41" s="143">
        <v>1.9</v>
      </c>
      <c r="AD41" s="143">
        <v>2</v>
      </c>
      <c r="AE41" s="143">
        <v>1.8</v>
      </c>
      <c r="AF41" s="143">
        <v>1.8</v>
      </c>
      <c r="AG41" s="143">
        <v>1.7</v>
      </c>
      <c r="AH41" s="143">
        <v>1.6</v>
      </c>
      <c r="AI41" s="143">
        <v>1.6</v>
      </c>
      <c r="AJ41" s="143">
        <v>1.7</v>
      </c>
      <c r="AK41" s="143">
        <v>1.9</v>
      </c>
      <c r="AL41" s="143">
        <v>2</v>
      </c>
      <c r="AM41" s="143">
        <v>2.2000000000000002</v>
      </c>
      <c r="AN41" s="143">
        <v>2.2999999999999998</v>
      </c>
      <c r="AO41" s="143">
        <v>2.2000000000000002</v>
      </c>
      <c r="AP41" s="143">
        <v>2.2000000000000002</v>
      </c>
      <c r="AQ41" s="143">
        <v>2.1</v>
      </c>
      <c r="AR41" s="143">
        <v>2</v>
      </c>
      <c r="AS41" s="143">
        <v>1.9</v>
      </c>
      <c r="AT41" s="143">
        <v>2</v>
      </c>
      <c r="AU41" s="143">
        <v>2.1</v>
      </c>
      <c r="AV41" s="143">
        <v>2.5</v>
      </c>
      <c r="AW41" s="143">
        <v>2.9</v>
      </c>
      <c r="AX41" s="143">
        <v>3.6</v>
      </c>
      <c r="AY41" s="143">
        <v>4.2</v>
      </c>
      <c r="AZ41" s="143">
        <v>4.7</v>
      </c>
      <c r="BA41" s="143">
        <v>5.0999999999999996</v>
      </c>
      <c r="BB41" s="143">
        <v>5.0999999999999996</v>
      </c>
      <c r="BC41" s="143">
        <v>4.9000000000000004</v>
      </c>
      <c r="BD41" s="143">
        <v>4.5999999999999996</v>
      </c>
      <c r="BE41" s="143">
        <v>4.0999999999999996</v>
      </c>
      <c r="BF41" s="143">
        <v>3.8</v>
      </c>
      <c r="BG41" s="143">
        <v>3.6</v>
      </c>
      <c r="BH41" s="143">
        <v>3.4</v>
      </c>
      <c r="BI41" s="143">
        <v>3.3</v>
      </c>
      <c r="BJ41" s="143">
        <v>3.2</v>
      </c>
      <c r="BK41" s="143">
        <v>3.1</v>
      </c>
      <c r="BL41" s="143">
        <v>3</v>
      </c>
      <c r="BM41" s="143">
        <v>2.9</v>
      </c>
      <c r="BN41" s="143">
        <v>2.9</v>
      </c>
      <c r="BO41" s="143">
        <v>2.8</v>
      </c>
      <c r="BP41" s="143">
        <v>2.7</v>
      </c>
      <c r="BQ41" s="143">
        <v>2.6</v>
      </c>
      <c r="BR41" s="143">
        <v>2.5</v>
      </c>
      <c r="BS41" s="143">
        <v>2.4</v>
      </c>
      <c r="BT41" s="143">
        <v>2.2999999999999998</v>
      </c>
      <c r="BU41" s="143">
        <v>2.2999999999999998</v>
      </c>
      <c r="BV41" s="143">
        <v>2.2000000000000002</v>
      </c>
      <c r="BW41" s="143">
        <v>2.2000000000000002</v>
      </c>
      <c r="BX41" s="143">
        <v>2.2000000000000002</v>
      </c>
      <c r="BY41" s="143">
        <v>2.2000000000000002</v>
      </c>
      <c r="BZ41" s="143">
        <v>2.2000000000000002</v>
      </c>
      <c r="CA41" s="143">
        <v>2.2000000000000002</v>
      </c>
      <c r="CB41" s="143">
        <v>2.2999999999999998</v>
      </c>
      <c r="CC41" s="143">
        <v>2.2999999999999998</v>
      </c>
      <c r="CD41" s="143">
        <v>2.2999999999999998</v>
      </c>
      <c r="CE41" s="143">
        <v>2.2999999999999998</v>
      </c>
      <c r="CF41" s="143">
        <v>2.2999999999999998</v>
      </c>
      <c r="CG41" s="143">
        <v>2.2999999999999998</v>
      </c>
      <c r="CH41" s="143">
        <v>2.2999999999999998</v>
      </c>
      <c r="CI41" s="143">
        <v>2.4</v>
      </c>
      <c r="CJ41" s="143">
        <v>2.4</v>
      </c>
      <c r="CK41" s="143">
        <v>2.4</v>
      </c>
      <c r="CL41" s="143">
        <v>2.4</v>
      </c>
      <c r="CM41" s="143">
        <v>2.4</v>
      </c>
      <c r="CN41" s="143">
        <v>2.2999999999999998</v>
      </c>
      <c r="CO41" s="143">
        <v>2.2999999999999998</v>
      </c>
      <c r="CP41" s="143">
        <v>2.2999999999999998</v>
      </c>
      <c r="CQ41" s="143">
        <v>2.2999999999999998</v>
      </c>
      <c r="CR41" s="143">
        <v>2.2999999999999998</v>
      </c>
      <c r="CS41" s="143">
        <v>2.2999999999999998</v>
      </c>
      <c r="CT41" s="143">
        <v>2.2999999999999998</v>
      </c>
      <c r="CU41" s="143">
        <v>2.2999999999999998</v>
      </c>
      <c r="CV41" s="143">
        <v>2.2999999999999998</v>
      </c>
      <c r="CW41" s="144">
        <v>2.4</v>
      </c>
    </row>
    <row r="42" spans="1:101" x14ac:dyDescent="0.25">
      <c r="A42" s="98" t="s">
        <v>430</v>
      </c>
      <c r="CW42" s="140"/>
    </row>
    <row r="43" spans="1:101" s="97" customFormat="1" x14ac:dyDescent="0.25">
      <c r="A43" s="146" t="s">
        <v>363</v>
      </c>
      <c r="B43" s="145">
        <v>0.74199999999999999</v>
      </c>
      <c r="C43" s="145">
        <v>0.745</v>
      </c>
      <c r="D43" s="145">
        <v>0.749</v>
      </c>
      <c r="E43" s="145">
        <v>0.751</v>
      </c>
      <c r="F43" s="145">
        <v>0.75600000000000001</v>
      </c>
      <c r="G43" s="145">
        <v>0.76</v>
      </c>
      <c r="H43" s="145">
        <v>0.76300000000000001</v>
      </c>
      <c r="I43" s="145">
        <v>0.76500000000000001</v>
      </c>
      <c r="J43" s="145">
        <v>0.77100000000000002</v>
      </c>
      <c r="K43" s="145">
        <v>0.77400000000000002</v>
      </c>
      <c r="L43" s="145">
        <v>0.77700000000000002</v>
      </c>
      <c r="M43" s="145">
        <v>0.78</v>
      </c>
      <c r="N43" s="145">
        <v>0.78600000000000003</v>
      </c>
      <c r="O43" s="145">
        <v>0.79</v>
      </c>
      <c r="P43" s="145">
        <v>0.79300000000000004</v>
      </c>
      <c r="Q43" s="145">
        <v>0.79400000000000004</v>
      </c>
      <c r="R43" s="145">
        <v>0.79900000000000004</v>
      </c>
      <c r="S43" s="145">
        <v>0.80400000000000005</v>
      </c>
      <c r="T43" s="145">
        <v>0.80800000000000005</v>
      </c>
      <c r="U43" s="145">
        <v>0.81100000000000005</v>
      </c>
      <c r="V43" s="145">
        <v>0.81799999999999995</v>
      </c>
      <c r="W43" s="145">
        <v>0.82099999999999995</v>
      </c>
      <c r="X43" s="145">
        <v>0.82399999999999995</v>
      </c>
      <c r="Y43" s="145">
        <v>0.82699999999999996</v>
      </c>
      <c r="Z43" s="145">
        <v>0.83499999999999996</v>
      </c>
      <c r="AA43" s="145">
        <v>0.83899999999999997</v>
      </c>
      <c r="AB43" s="145">
        <v>0.84199999999999997</v>
      </c>
      <c r="AC43" s="145">
        <v>0.84499999999999997</v>
      </c>
      <c r="AD43" s="145">
        <v>0.85299999999999998</v>
      </c>
      <c r="AE43" s="145">
        <v>0.85799999999999998</v>
      </c>
      <c r="AF43" s="145">
        <v>0.86099999999999999</v>
      </c>
      <c r="AG43" s="145">
        <v>0.86499999999999999</v>
      </c>
      <c r="AH43" s="145">
        <v>0.874</v>
      </c>
      <c r="AI43" s="145">
        <v>0.879</v>
      </c>
      <c r="AJ43" s="145">
        <v>0.88600000000000001</v>
      </c>
      <c r="AK43" s="145">
        <v>0.89</v>
      </c>
      <c r="AL43" s="145">
        <v>0.89700000000000002</v>
      </c>
      <c r="AM43" s="145">
        <v>0.90200000000000002</v>
      </c>
      <c r="AN43" s="145">
        <v>0.90800000000000003</v>
      </c>
      <c r="AO43" s="145">
        <v>0.91100000000000003</v>
      </c>
      <c r="AP43" s="145">
        <v>0.92</v>
      </c>
      <c r="AQ43" s="145">
        <v>0.92</v>
      </c>
      <c r="AR43" s="145">
        <v>0.92700000000000005</v>
      </c>
      <c r="AS43" s="145">
        <v>0.93100000000000005</v>
      </c>
      <c r="AT43" s="145">
        <v>0.93799999999999994</v>
      </c>
      <c r="AU43" s="145">
        <v>0.94499999999999995</v>
      </c>
      <c r="AV43" s="145">
        <v>0.95699999999999996</v>
      </c>
      <c r="AW43" s="145">
        <v>0.96699999999999997</v>
      </c>
      <c r="AX43" s="145">
        <v>0.98099999999999998</v>
      </c>
      <c r="AY43" s="145">
        <v>0.99399999999999999</v>
      </c>
      <c r="AZ43" s="145">
        <v>1.0069999999999999</v>
      </c>
      <c r="BA43" s="145">
        <v>1.0169999999999999</v>
      </c>
      <c r="BB43" s="145">
        <v>1.0309999999999999</v>
      </c>
      <c r="BC43" s="145">
        <v>1.0409999999999999</v>
      </c>
      <c r="BD43" s="145">
        <v>1.052</v>
      </c>
      <c r="BE43" s="145">
        <v>1.0569999999999999</v>
      </c>
      <c r="BF43" s="145">
        <v>1.071</v>
      </c>
      <c r="BG43" s="145">
        <v>1.08</v>
      </c>
      <c r="BH43" s="145">
        <v>1.089</v>
      </c>
      <c r="BI43" s="145">
        <v>1.0960000000000001</v>
      </c>
      <c r="BJ43" s="145">
        <v>1.1080000000000001</v>
      </c>
      <c r="BK43" s="145">
        <v>1.117</v>
      </c>
      <c r="BL43" s="145">
        <v>1.125</v>
      </c>
      <c r="BM43" s="145">
        <v>1.1299999999999999</v>
      </c>
      <c r="BN43" s="145">
        <v>1.1419999999999999</v>
      </c>
      <c r="BO43" s="145">
        <v>1.151</v>
      </c>
      <c r="BP43" s="145">
        <v>1.159</v>
      </c>
      <c r="BQ43" s="145">
        <v>1.165</v>
      </c>
      <c r="BR43" s="145">
        <v>1.177</v>
      </c>
      <c r="BS43" s="145">
        <v>1.1850000000000001</v>
      </c>
      <c r="BT43" s="145">
        <v>1.1930000000000001</v>
      </c>
      <c r="BU43" s="145">
        <v>1.1990000000000001</v>
      </c>
      <c r="BV43" s="145">
        <v>1.21</v>
      </c>
      <c r="BW43" s="145">
        <v>1.2190000000000001</v>
      </c>
      <c r="BX43" s="145">
        <v>1.2270000000000001</v>
      </c>
      <c r="BY43" s="145">
        <v>1.2330000000000001</v>
      </c>
      <c r="BZ43" s="145">
        <v>1.2450000000000001</v>
      </c>
      <c r="CA43" s="145">
        <v>1.2529999999999999</v>
      </c>
      <c r="CB43" s="145">
        <v>1.2609999999999999</v>
      </c>
      <c r="CC43" s="145">
        <v>1.2669999999999999</v>
      </c>
      <c r="CD43" s="145">
        <v>1.28</v>
      </c>
      <c r="CE43" s="145">
        <v>1.288</v>
      </c>
      <c r="CF43" s="145">
        <v>1.2969999999999999</v>
      </c>
      <c r="CG43" s="145">
        <v>1.3029999999999999</v>
      </c>
      <c r="CH43" s="145">
        <v>1.3149999999999999</v>
      </c>
      <c r="CI43" s="145">
        <v>1.3240000000000001</v>
      </c>
      <c r="CJ43" s="145">
        <v>1.333</v>
      </c>
      <c r="CK43" s="145">
        <v>1.339</v>
      </c>
      <c r="CL43" s="145">
        <v>1.3520000000000001</v>
      </c>
      <c r="CM43" s="145">
        <v>1.361</v>
      </c>
      <c r="CN43" s="145">
        <v>1.37</v>
      </c>
      <c r="CO43" s="145">
        <v>1.3759999999999999</v>
      </c>
      <c r="CP43" s="145">
        <v>1.389</v>
      </c>
      <c r="CQ43" s="145">
        <v>1.399</v>
      </c>
      <c r="CR43" s="145">
        <v>1.4079999999999999</v>
      </c>
      <c r="CS43" s="145">
        <v>1.4139999999999999</v>
      </c>
      <c r="CT43" s="145">
        <v>1.4279999999999999</v>
      </c>
      <c r="CU43" s="145">
        <v>1.4379999999999999</v>
      </c>
      <c r="CV43" s="145">
        <v>1.4470000000000001</v>
      </c>
      <c r="CW43" s="147">
        <v>1.454</v>
      </c>
    </row>
    <row r="44" spans="1:101" x14ac:dyDescent="0.25">
      <c r="A44" s="99" t="s">
        <v>364</v>
      </c>
      <c r="B44" s="143">
        <v>1.5</v>
      </c>
      <c r="C44" s="143">
        <v>1.4</v>
      </c>
      <c r="D44" s="143">
        <v>1.5</v>
      </c>
      <c r="E44" s="143">
        <v>1.6</v>
      </c>
      <c r="F44" s="143">
        <v>1.7</v>
      </c>
      <c r="G44" s="143">
        <v>1.9</v>
      </c>
      <c r="H44" s="143">
        <v>1.9</v>
      </c>
      <c r="I44" s="143">
        <v>1.9</v>
      </c>
      <c r="J44" s="143">
        <v>1.9</v>
      </c>
      <c r="K44" s="143">
        <v>1.9</v>
      </c>
      <c r="L44" s="143">
        <v>1.9</v>
      </c>
      <c r="M44" s="143">
        <v>1.9</v>
      </c>
      <c r="N44" s="143">
        <v>1.9</v>
      </c>
      <c r="O44" s="143">
        <v>1.9</v>
      </c>
      <c r="P44" s="143">
        <v>1.9</v>
      </c>
      <c r="Q44" s="143">
        <v>1.9</v>
      </c>
      <c r="R44" s="143">
        <v>1.9</v>
      </c>
      <c r="S44" s="143">
        <v>1.8</v>
      </c>
      <c r="T44" s="143">
        <v>1.8</v>
      </c>
      <c r="U44" s="143">
        <v>1.9</v>
      </c>
      <c r="V44" s="143">
        <v>2.1</v>
      </c>
      <c r="W44" s="143">
        <v>2.1</v>
      </c>
      <c r="X44" s="143">
        <v>2.2000000000000002</v>
      </c>
      <c r="Y44" s="143">
        <v>2.1</v>
      </c>
      <c r="Z44" s="143">
        <v>2</v>
      </c>
      <c r="AA44" s="143">
        <v>2.1</v>
      </c>
      <c r="AB44" s="143">
        <v>2.1</v>
      </c>
      <c r="AC44" s="143">
        <v>2.2000000000000002</v>
      </c>
      <c r="AD44" s="143">
        <v>2.2000000000000002</v>
      </c>
      <c r="AE44" s="143">
        <v>2.2000000000000002</v>
      </c>
      <c r="AF44" s="143">
        <v>2.2000000000000002</v>
      </c>
      <c r="AG44" s="143">
        <v>2.2999999999999998</v>
      </c>
      <c r="AH44" s="143">
        <v>2.4</v>
      </c>
      <c r="AI44" s="143">
        <v>2.4</v>
      </c>
      <c r="AJ44" s="143">
        <v>2.5</v>
      </c>
      <c r="AK44" s="143">
        <v>2.7</v>
      </c>
      <c r="AL44" s="143">
        <v>2.7</v>
      </c>
      <c r="AM44" s="143">
        <v>2.7</v>
      </c>
      <c r="AN44" s="143">
        <v>2.7</v>
      </c>
      <c r="AO44" s="143">
        <v>2.5</v>
      </c>
      <c r="AP44" s="143">
        <v>2.5</v>
      </c>
      <c r="AQ44" s="143">
        <v>2.4</v>
      </c>
      <c r="AR44" s="143">
        <v>2.2000000000000002</v>
      </c>
      <c r="AS44" s="143">
        <v>2.2000000000000002</v>
      </c>
      <c r="AT44" s="143">
        <v>2.1</v>
      </c>
      <c r="AU44" s="143">
        <v>2.2000000000000002</v>
      </c>
      <c r="AV44" s="143">
        <v>2.5</v>
      </c>
      <c r="AW44" s="143">
        <v>3</v>
      </c>
      <c r="AX44" s="143">
        <v>3.6</v>
      </c>
      <c r="AY44" s="143">
        <v>4.3</v>
      </c>
      <c r="AZ44" s="143">
        <v>4.7</v>
      </c>
      <c r="BA44" s="143">
        <v>5.0999999999999996</v>
      </c>
      <c r="BB44" s="143">
        <v>5.2</v>
      </c>
      <c r="BC44" s="143">
        <v>5</v>
      </c>
      <c r="BD44" s="143">
        <v>4.8</v>
      </c>
      <c r="BE44" s="143">
        <v>4.5</v>
      </c>
      <c r="BF44" s="143">
        <v>4.2</v>
      </c>
      <c r="BG44" s="143">
        <v>4</v>
      </c>
      <c r="BH44" s="143">
        <v>3.8</v>
      </c>
      <c r="BI44" s="143">
        <v>3.7</v>
      </c>
      <c r="BJ44" s="143">
        <v>3.6</v>
      </c>
      <c r="BK44" s="143">
        <v>3.5</v>
      </c>
      <c r="BL44" s="143">
        <v>3.4</v>
      </c>
      <c r="BM44" s="143">
        <v>3.3</v>
      </c>
      <c r="BN44" s="143">
        <v>3.2</v>
      </c>
      <c r="BO44" s="143">
        <v>3.2</v>
      </c>
      <c r="BP44" s="143">
        <v>3.1</v>
      </c>
      <c r="BQ44" s="143">
        <v>3.1</v>
      </c>
      <c r="BR44" s="143">
        <v>3.1</v>
      </c>
      <c r="BS44" s="143">
        <v>3</v>
      </c>
      <c r="BT44" s="143">
        <v>3</v>
      </c>
      <c r="BU44" s="143">
        <v>3</v>
      </c>
      <c r="BV44" s="143">
        <v>2.9</v>
      </c>
      <c r="BW44" s="143">
        <v>2.9</v>
      </c>
      <c r="BX44" s="143">
        <v>2.8</v>
      </c>
      <c r="BY44" s="143">
        <v>2.8</v>
      </c>
      <c r="BZ44" s="143">
        <v>2.8</v>
      </c>
      <c r="CA44" s="143">
        <v>2.8</v>
      </c>
      <c r="CB44" s="143">
        <v>2.8</v>
      </c>
      <c r="CC44" s="143">
        <v>2.8</v>
      </c>
      <c r="CD44" s="143">
        <v>2.8</v>
      </c>
      <c r="CE44" s="143">
        <v>2.8</v>
      </c>
      <c r="CF44" s="143">
        <v>2.8</v>
      </c>
      <c r="CG44" s="143">
        <v>2.8</v>
      </c>
      <c r="CH44" s="143">
        <v>2.8</v>
      </c>
      <c r="CI44" s="143">
        <v>2.8</v>
      </c>
      <c r="CJ44" s="143">
        <v>2.8</v>
      </c>
      <c r="CK44" s="143">
        <v>2.8</v>
      </c>
      <c r="CL44" s="143">
        <v>2.8</v>
      </c>
      <c r="CM44" s="143">
        <v>2.8</v>
      </c>
      <c r="CN44" s="143">
        <v>2.8</v>
      </c>
      <c r="CO44" s="143">
        <v>2.8</v>
      </c>
      <c r="CP44" s="143">
        <v>2.8</v>
      </c>
      <c r="CQ44" s="143">
        <v>2.8</v>
      </c>
      <c r="CR44" s="143">
        <v>2.8</v>
      </c>
      <c r="CS44" s="143">
        <v>2.8</v>
      </c>
      <c r="CT44" s="143">
        <v>2.8</v>
      </c>
      <c r="CU44" s="143">
        <v>2.8</v>
      </c>
      <c r="CV44" s="143">
        <v>2.8</v>
      </c>
      <c r="CW44" s="144">
        <v>2.8</v>
      </c>
    </row>
    <row r="45" spans="1:101" x14ac:dyDescent="0.25">
      <c r="A45" s="100" t="s">
        <v>373</v>
      </c>
      <c r="CW45" s="140"/>
    </row>
    <row r="46" spans="1:101" s="154" customFormat="1" x14ac:dyDescent="0.25">
      <c r="A46" s="152" t="s">
        <v>363</v>
      </c>
      <c r="B46" s="153">
        <v>0.876</v>
      </c>
      <c r="C46" s="153">
        <v>0.879</v>
      </c>
      <c r="D46" s="153">
        <v>0.88400000000000001</v>
      </c>
      <c r="E46" s="153">
        <v>0.88600000000000001</v>
      </c>
      <c r="F46" s="153">
        <v>0.89200000000000002</v>
      </c>
      <c r="G46" s="153">
        <v>0.89600000000000002</v>
      </c>
      <c r="H46" s="153">
        <v>0.89900000000000002</v>
      </c>
      <c r="I46" s="153">
        <v>0.90100000000000002</v>
      </c>
      <c r="J46" s="153">
        <v>0.90700000000000003</v>
      </c>
      <c r="K46" s="153">
        <v>0.91100000000000003</v>
      </c>
      <c r="L46" s="153">
        <v>0.91400000000000003</v>
      </c>
      <c r="M46" s="153">
        <v>0.91700000000000004</v>
      </c>
      <c r="N46" s="153">
        <v>0.92200000000000004</v>
      </c>
      <c r="O46" s="153">
        <v>0.92700000000000005</v>
      </c>
      <c r="P46" s="153">
        <v>0.93100000000000005</v>
      </c>
      <c r="Q46" s="153">
        <v>0.93400000000000005</v>
      </c>
      <c r="R46" s="153">
        <v>0.93700000000000006</v>
      </c>
      <c r="S46" s="153">
        <v>0.94299999999999995</v>
      </c>
      <c r="T46" s="153">
        <v>0.94699999999999995</v>
      </c>
      <c r="U46" s="153">
        <v>0.95099999999999996</v>
      </c>
      <c r="V46" s="153">
        <v>0.95699999999999996</v>
      </c>
      <c r="W46" s="153">
        <v>0.96</v>
      </c>
      <c r="X46" s="153">
        <v>0.96399999999999997</v>
      </c>
      <c r="Y46" s="153">
        <v>0.96699999999999997</v>
      </c>
      <c r="Z46" s="153">
        <v>0.97399999999999998</v>
      </c>
      <c r="AA46" s="153">
        <v>0.97799999999999998</v>
      </c>
      <c r="AB46" s="153">
        <v>0.98199999999999998</v>
      </c>
      <c r="AC46" s="153">
        <v>0.98499999999999999</v>
      </c>
      <c r="AD46" s="153">
        <v>0.99299999999999999</v>
      </c>
      <c r="AE46" s="153">
        <v>0.999</v>
      </c>
      <c r="AF46" s="153">
        <v>1.002</v>
      </c>
      <c r="AG46" s="153">
        <v>1.0069999999999999</v>
      </c>
      <c r="AH46" s="153">
        <v>1.0149999999999999</v>
      </c>
      <c r="AI46" s="153">
        <v>1.02</v>
      </c>
      <c r="AJ46" s="153">
        <v>1.0269999999999999</v>
      </c>
      <c r="AK46" s="153">
        <v>1.0329999999999999</v>
      </c>
      <c r="AL46" s="153">
        <v>1.04</v>
      </c>
      <c r="AM46" s="153">
        <v>1.0449999999999999</v>
      </c>
      <c r="AN46" s="153">
        <v>1.052</v>
      </c>
      <c r="AO46" s="153">
        <v>1.056</v>
      </c>
      <c r="AP46" s="153">
        <v>1.0660000000000001</v>
      </c>
      <c r="AQ46" s="153">
        <v>1.0669999999999999</v>
      </c>
      <c r="AR46" s="153">
        <v>1.075</v>
      </c>
      <c r="AS46" s="153">
        <v>1.08</v>
      </c>
      <c r="AT46" s="153">
        <v>1.089</v>
      </c>
      <c r="AU46" s="153">
        <v>1.097</v>
      </c>
      <c r="AV46" s="153">
        <v>1.1120000000000001</v>
      </c>
      <c r="AW46" s="153">
        <v>1.123</v>
      </c>
      <c r="AX46" s="156">
        <v>1.1399999999999999</v>
      </c>
      <c r="AY46" s="156">
        <v>1.1539999999999999</v>
      </c>
      <c r="AZ46" s="156">
        <v>1.1679999999999999</v>
      </c>
      <c r="BA46" s="105">
        <v>1.18</v>
      </c>
      <c r="BB46" s="156">
        <v>1.1970000000000001</v>
      </c>
      <c r="BC46" s="106">
        <v>1.208</v>
      </c>
      <c r="BD46" s="107">
        <v>1.2210000000000001</v>
      </c>
      <c r="BE46" s="109">
        <v>1.228</v>
      </c>
      <c r="BF46" s="108">
        <v>1.244</v>
      </c>
      <c r="BG46" s="156">
        <v>1.2549999999999999</v>
      </c>
      <c r="BH46" s="156">
        <v>1.2649999999999999</v>
      </c>
      <c r="BI46" s="158">
        <v>1.2729999999999999</v>
      </c>
      <c r="BJ46" s="156">
        <v>1.288</v>
      </c>
      <c r="BK46" s="156">
        <v>1.298</v>
      </c>
      <c r="BL46" s="156">
        <v>1.3080000000000001</v>
      </c>
      <c r="BM46" s="156">
        <v>1.3149999999999999</v>
      </c>
      <c r="BN46" s="156">
        <v>1.329</v>
      </c>
      <c r="BO46" s="156">
        <v>1.3380000000000001</v>
      </c>
      <c r="BP46" s="156">
        <v>1.3480000000000001</v>
      </c>
      <c r="BQ46" s="156">
        <v>1.3560000000000001</v>
      </c>
      <c r="BR46" s="156">
        <v>1.369</v>
      </c>
      <c r="BS46" s="156">
        <v>1.3779999999999999</v>
      </c>
      <c r="BT46" s="156">
        <v>1.387</v>
      </c>
      <c r="BU46" s="156">
        <v>1.3939999999999999</v>
      </c>
      <c r="BV46" s="156">
        <v>1.407</v>
      </c>
      <c r="BW46" s="156">
        <v>1.4159999999999999</v>
      </c>
      <c r="BX46" s="156">
        <v>1.4259999999999999</v>
      </c>
      <c r="BY46" s="156">
        <v>1.4330000000000001</v>
      </c>
      <c r="BZ46" s="156">
        <v>1.446</v>
      </c>
      <c r="CA46" s="156">
        <v>1.4550000000000001</v>
      </c>
      <c r="CB46" s="156">
        <v>1.4650000000000001</v>
      </c>
      <c r="CC46" s="156">
        <v>1.4730000000000001</v>
      </c>
      <c r="CD46" s="156">
        <v>1.486</v>
      </c>
      <c r="CE46" s="156">
        <v>1.496</v>
      </c>
      <c r="CF46" s="156">
        <v>1.506</v>
      </c>
      <c r="CG46" s="156">
        <v>1.5129999999999999</v>
      </c>
      <c r="CH46" s="156">
        <v>1.5269999999999999</v>
      </c>
      <c r="CI46" s="156">
        <v>1.5369999999999999</v>
      </c>
      <c r="CJ46" s="156">
        <v>1.5469999999999999</v>
      </c>
      <c r="CK46" s="156">
        <v>1.5549999999999999</v>
      </c>
      <c r="CL46" s="156">
        <v>1.569</v>
      </c>
      <c r="CM46" s="156">
        <v>1.579</v>
      </c>
      <c r="CN46" s="156">
        <v>1.59</v>
      </c>
      <c r="CO46" s="156">
        <v>1.5980000000000001</v>
      </c>
      <c r="CP46" s="156">
        <v>1.6120000000000001</v>
      </c>
      <c r="CQ46" s="156">
        <v>1.6220000000000001</v>
      </c>
      <c r="CR46" s="156">
        <v>1.6339999999999999</v>
      </c>
      <c r="CS46" s="156">
        <v>1.6419999999999999</v>
      </c>
      <c r="CT46" s="156">
        <v>1.657</v>
      </c>
      <c r="CU46" s="156">
        <v>1.667</v>
      </c>
      <c r="CV46" s="156">
        <v>1.679</v>
      </c>
      <c r="CW46" s="157">
        <v>1.6870000000000001</v>
      </c>
    </row>
    <row r="47" spans="1:101" x14ac:dyDescent="0.25">
      <c r="A47" s="101" t="s">
        <v>374</v>
      </c>
      <c r="B47" s="148">
        <v>0.4</v>
      </c>
      <c r="C47" s="148">
        <v>0.29999999999999993</v>
      </c>
      <c r="D47" s="148">
        <v>0.19999999999999996</v>
      </c>
      <c r="E47" s="148">
        <v>0.39999999999999991</v>
      </c>
      <c r="F47" s="148">
        <v>0.60000000000000009</v>
      </c>
      <c r="G47" s="148">
        <v>0.59999999999999987</v>
      </c>
      <c r="H47" s="148">
        <v>0.59999999999999987</v>
      </c>
      <c r="I47" s="148">
        <v>0.59999999999999987</v>
      </c>
      <c r="J47" s="148">
        <v>0.7</v>
      </c>
      <c r="K47" s="148">
        <v>0.7</v>
      </c>
      <c r="L47" s="148">
        <v>0.79999999999999993</v>
      </c>
      <c r="M47" s="148">
        <v>0.79999999999999993</v>
      </c>
      <c r="N47" s="148">
        <v>0.79999999999999993</v>
      </c>
      <c r="O47" s="148">
        <v>0.79999999999999993</v>
      </c>
      <c r="P47" s="148">
        <v>0.9</v>
      </c>
      <c r="Q47" s="148">
        <v>1</v>
      </c>
      <c r="R47" s="148">
        <v>1</v>
      </c>
      <c r="S47" s="148">
        <v>1.1000000000000001</v>
      </c>
      <c r="T47" s="148">
        <v>1.1000000000000001</v>
      </c>
      <c r="U47" s="148">
        <v>1.1000000000000001</v>
      </c>
      <c r="V47" s="148">
        <v>1.2999999999999998</v>
      </c>
      <c r="W47" s="148">
        <v>1.4</v>
      </c>
      <c r="X47" s="148">
        <v>1.4</v>
      </c>
      <c r="Y47" s="148">
        <v>1.4</v>
      </c>
      <c r="Z47" s="148">
        <v>1.3</v>
      </c>
      <c r="AA47" s="148">
        <v>1.3</v>
      </c>
      <c r="AB47" s="148">
        <v>1.3</v>
      </c>
      <c r="AC47" s="148">
        <v>1.5</v>
      </c>
      <c r="AD47" s="148">
        <v>1.5</v>
      </c>
      <c r="AE47" s="148">
        <v>1.5</v>
      </c>
      <c r="AF47" s="148">
        <v>1.5</v>
      </c>
      <c r="AG47" s="148">
        <v>1.5</v>
      </c>
      <c r="AH47" s="148">
        <v>1.6</v>
      </c>
      <c r="AI47" s="148">
        <v>1.7000000000000002</v>
      </c>
      <c r="AJ47" s="148">
        <v>1.7999999999999998</v>
      </c>
      <c r="AK47" s="148">
        <v>1.9</v>
      </c>
      <c r="AL47" s="148">
        <v>1.7999999999999998</v>
      </c>
      <c r="AM47" s="148">
        <v>1.9</v>
      </c>
      <c r="AN47" s="148">
        <v>1.8</v>
      </c>
      <c r="AO47" s="148">
        <v>1.5999999999999999</v>
      </c>
      <c r="AP47" s="148">
        <v>1.5999999999999999</v>
      </c>
      <c r="AQ47" s="148">
        <v>1.5999999999999999</v>
      </c>
      <c r="AR47" s="148">
        <v>1.6999999999999997</v>
      </c>
      <c r="AS47" s="148">
        <v>1.7999999999999998</v>
      </c>
      <c r="AT47" s="148">
        <v>1.7000000000000002</v>
      </c>
      <c r="AU47" s="148">
        <v>1.9</v>
      </c>
      <c r="AV47" s="148">
        <v>2.2000000000000002</v>
      </c>
      <c r="AW47" s="148">
        <v>2.5</v>
      </c>
      <c r="AX47" s="148">
        <v>3</v>
      </c>
      <c r="AY47" s="148">
        <v>3.4</v>
      </c>
      <c r="AZ47" s="148">
        <v>3.8000000000000003</v>
      </c>
      <c r="BA47" s="148">
        <v>4.2</v>
      </c>
      <c r="BB47" s="148">
        <v>4.3999999999999995</v>
      </c>
      <c r="BC47" s="148">
        <v>4.3</v>
      </c>
      <c r="BD47" s="148">
        <v>4.2</v>
      </c>
      <c r="BE47" s="148">
        <v>3.8999999999999995</v>
      </c>
      <c r="BF47" s="148">
        <v>3.5999999999999996</v>
      </c>
      <c r="BG47" s="148">
        <v>3.3999999999999995</v>
      </c>
      <c r="BH47" s="148">
        <v>3.0999999999999996</v>
      </c>
      <c r="BI47" s="148">
        <v>3</v>
      </c>
      <c r="BJ47" s="148">
        <v>2.9000000000000004</v>
      </c>
      <c r="BK47" s="148">
        <v>2.8</v>
      </c>
      <c r="BL47" s="148">
        <v>2.8</v>
      </c>
      <c r="BM47" s="148">
        <v>2.7</v>
      </c>
      <c r="BN47" s="148">
        <v>2.5999999999999996</v>
      </c>
      <c r="BO47" s="148">
        <v>2.5</v>
      </c>
      <c r="BP47" s="148">
        <v>2.5</v>
      </c>
      <c r="BQ47" s="148">
        <v>2.2999999999999998</v>
      </c>
      <c r="BR47" s="148">
        <v>2.2999999999999998</v>
      </c>
      <c r="BS47" s="148">
        <v>2.2000000000000002</v>
      </c>
      <c r="BT47" s="148">
        <v>2.2000000000000002</v>
      </c>
      <c r="BU47" s="148">
        <v>2.0999999999999996</v>
      </c>
      <c r="BV47" s="148">
        <v>2.0999999999999996</v>
      </c>
      <c r="BW47" s="148">
        <v>1.9999999999999998</v>
      </c>
      <c r="BX47" s="148">
        <v>1.9999999999999998</v>
      </c>
      <c r="BY47" s="148">
        <v>1.9999999999999998</v>
      </c>
      <c r="BZ47" s="148">
        <v>1.9999999999999998</v>
      </c>
      <c r="CA47" s="148">
        <v>1.9999999999999998</v>
      </c>
      <c r="CB47" s="148">
        <v>1.9999999999999998</v>
      </c>
      <c r="CC47" s="148">
        <v>1.9999999999999998</v>
      </c>
      <c r="CD47" s="148">
        <v>2.0999999999999996</v>
      </c>
      <c r="CE47" s="148">
        <v>2.0999999999999996</v>
      </c>
      <c r="CF47" s="148">
        <v>1.9999999999999998</v>
      </c>
      <c r="CG47" s="148">
        <v>1.9999999999999998</v>
      </c>
      <c r="CH47" s="148">
        <v>1.9999999999999998</v>
      </c>
      <c r="CI47" s="148">
        <v>1.9999999999999998</v>
      </c>
      <c r="CJ47" s="148">
        <v>1.9999999999999998</v>
      </c>
      <c r="CK47" s="148">
        <v>2.0999999999999996</v>
      </c>
      <c r="CL47" s="148">
        <v>2.0999999999999996</v>
      </c>
      <c r="CM47" s="148">
        <v>2.1999999999999997</v>
      </c>
      <c r="CN47" s="148">
        <v>2.1999999999999997</v>
      </c>
      <c r="CO47" s="148">
        <v>2.1</v>
      </c>
      <c r="CP47" s="148">
        <v>2</v>
      </c>
      <c r="CQ47" s="148">
        <v>1.9000000000000001</v>
      </c>
      <c r="CR47" s="148">
        <v>1.9000000000000001</v>
      </c>
      <c r="CS47" s="148">
        <v>1.9000000000000001</v>
      </c>
      <c r="CT47" s="148">
        <v>1.9999999999999998</v>
      </c>
      <c r="CU47" s="148">
        <v>2.0999999999999996</v>
      </c>
      <c r="CV47" s="148">
        <v>2.0999999999999996</v>
      </c>
      <c r="CW47" s="149">
        <v>2.0999999999999996</v>
      </c>
    </row>
    <row r="48" spans="1:101" x14ac:dyDescent="0.25">
      <c r="A48" s="102" t="s">
        <v>375</v>
      </c>
    </row>
    <row r="49" spans="1:13" x14ac:dyDescent="0.25">
      <c r="A49" s="102" t="s">
        <v>376</v>
      </c>
    </row>
    <row r="50" spans="1:13" x14ac:dyDescent="0.25">
      <c r="A50" s="138" t="s">
        <v>431</v>
      </c>
    </row>
    <row r="51" spans="1:13" x14ac:dyDescent="0.25">
      <c r="A51" s="138" t="s">
        <v>432</v>
      </c>
    </row>
    <row r="52" spans="1:13" x14ac:dyDescent="0.25">
      <c r="A52" s="138" t="s">
        <v>377</v>
      </c>
      <c r="M52" s="138">
        <f>J46*1.008</f>
        <v>0.91425600000000007</v>
      </c>
    </row>
    <row r="53" spans="1:13" x14ac:dyDescent="0.25">
      <c r="A53" s="138" t="s">
        <v>433</v>
      </c>
    </row>
    <row r="55" spans="1:13" x14ac:dyDescent="0.25">
      <c r="A55" s="102"/>
    </row>
    <row r="57" spans="1:13" ht="27.95" customHeight="1" x14ac:dyDescent="0.25"/>
  </sheetData>
  <mergeCells count="2">
    <mergeCell ref="BF2:BG2"/>
    <mergeCell ref="BF12:BG12"/>
  </mergeCells>
  <phoneticPr fontId="27" type="noConversion"/>
  <pageMargins left="0.7" right="0.7" top="0.75" bottom="0.75" header="0.3" footer="0.3"/>
  <customProperties>
    <customPr name="OrphanNamesChecked" r:id="rId1"/>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7DCCA-5DBC-43DA-8B46-6E59575A5531}">
  <sheetPr>
    <tabColor rgb="FF92D050"/>
    <pageSetUpPr fitToPage="1"/>
  </sheetPr>
  <dimension ref="A1:AC99"/>
  <sheetViews>
    <sheetView workbookViewId="0">
      <selection activeCell="H27" sqref="H27"/>
    </sheetView>
  </sheetViews>
  <sheetFormatPr defaultRowHeight="15" x14ac:dyDescent="0.25"/>
  <cols>
    <col min="1" max="1" width="6.5703125" customWidth="1"/>
    <col min="2" max="2" width="27.85546875" style="1" customWidth="1"/>
    <col min="3" max="3" width="9.42578125" style="20" customWidth="1"/>
    <col min="4" max="4" width="11.42578125" style="2" customWidth="1"/>
    <col min="5" max="5" width="10.42578125" style="2" bestFit="1" customWidth="1"/>
    <col min="6" max="6" width="10.7109375" style="2" bestFit="1" customWidth="1"/>
    <col min="7" max="7" width="13.28515625" style="2" customWidth="1"/>
    <col min="8" max="8" width="12.85546875" customWidth="1"/>
    <col min="9" max="9" width="11.28515625" customWidth="1"/>
    <col min="10" max="10" width="12.85546875" style="77" customWidth="1"/>
    <col min="11" max="11" width="11.42578125" style="120" customWidth="1"/>
    <col min="12" max="12" width="5.140625" style="85" customWidth="1"/>
    <col min="13" max="13" width="13" style="67" customWidth="1"/>
    <col min="14" max="14" width="11.28515625" customWidth="1"/>
    <col min="15" max="15" width="11.42578125" style="77" customWidth="1"/>
    <col min="16" max="16" width="11.42578125" style="68" customWidth="1"/>
    <col min="17" max="17" width="12.85546875" customWidth="1"/>
    <col min="18" max="18" width="11.28515625" customWidth="1"/>
    <col min="19" max="19" width="11.42578125" style="77" customWidth="1"/>
    <col min="20" max="20" width="11.42578125" style="68" customWidth="1"/>
    <col min="21" max="21" width="10" customWidth="1"/>
    <col min="22" max="22" width="8.85546875" customWidth="1"/>
    <col min="23" max="24" width="11.42578125" style="4" customWidth="1"/>
    <col min="25" max="25" width="24.140625" customWidth="1"/>
  </cols>
  <sheetData>
    <row r="1" spans="1:29" s="18" customFormat="1" ht="39" customHeight="1" x14ac:dyDescent="0.55000000000000004">
      <c r="A1" s="9" t="s">
        <v>385</v>
      </c>
      <c r="B1" s="10"/>
      <c r="C1" s="10"/>
      <c r="D1" s="6"/>
      <c r="E1" s="6"/>
      <c r="F1" s="6"/>
      <c r="G1" s="6"/>
      <c r="H1" s="14" t="s">
        <v>226</v>
      </c>
      <c r="I1" s="14"/>
      <c r="J1" s="14"/>
      <c r="K1" s="15"/>
      <c r="L1" s="16"/>
      <c r="M1" s="11" t="s">
        <v>225</v>
      </c>
      <c r="N1" s="12"/>
      <c r="O1" s="12"/>
      <c r="P1" s="13"/>
      <c r="Q1" s="12" t="s">
        <v>53</v>
      </c>
      <c r="R1" s="12"/>
      <c r="S1" s="12"/>
      <c r="T1" s="13"/>
      <c r="U1" s="17" t="s">
        <v>12</v>
      </c>
      <c r="V1" s="17" t="s">
        <v>14</v>
      </c>
      <c r="W1" s="17" t="s">
        <v>207</v>
      </c>
      <c r="X1" s="17" t="s">
        <v>234</v>
      </c>
      <c r="Y1" s="5" t="s">
        <v>235</v>
      </c>
      <c r="Z1" s="5" t="s">
        <v>236</v>
      </c>
    </row>
    <row r="2" spans="1:29" ht="18.75" x14ac:dyDescent="0.4">
      <c r="A2" s="19" t="s">
        <v>237</v>
      </c>
      <c r="D2" s="1"/>
      <c r="G2" s="113" t="s">
        <v>257</v>
      </c>
      <c r="H2" s="24" t="s">
        <v>238</v>
      </c>
      <c r="I2" s="24" t="s">
        <v>239</v>
      </c>
      <c r="J2" s="78" t="s">
        <v>240</v>
      </c>
      <c r="K2" s="78" t="s">
        <v>258</v>
      </c>
      <c r="L2" s="281" t="s">
        <v>384</v>
      </c>
      <c r="M2" s="21" t="s">
        <v>238</v>
      </c>
      <c r="N2" s="22" t="s">
        <v>239</v>
      </c>
      <c r="O2" s="73" t="s">
        <v>240</v>
      </c>
      <c r="P2" s="23" t="s">
        <v>258</v>
      </c>
      <c r="Q2" s="22" t="s">
        <v>238</v>
      </c>
      <c r="R2" s="22" t="s">
        <v>239</v>
      </c>
      <c r="S2" s="73" t="s">
        <v>240</v>
      </c>
      <c r="T2" s="23" t="s">
        <v>258</v>
      </c>
      <c r="U2" s="25"/>
      <c r="V2" s="25"/>
      <c r="W2" s="25"/>
      <c r="X2" s="25"/>
    </row>
    <row r="3" spans="1:29" s="5" customFormat="1" ht="21" customHeight="1" x14ac:dyDescent="0.25">
      <c r="A3" s="19" t="s">
        <v>241</v>
      </c>
      <c r="B3" s="8"/>
      <c r="C3" s="8" t="s">
        <v>242</v>
      </c>
      <c r="D3" s="8"/>
      <c r="E3" s="26"/>
      <c r="F3" s="26" t="s">
        <v>255</v>
      </c>
      <c r="G3" s="114" t="s">
        <v>259</v>
      </c>
      <c r="H3" s="8"/>
      <c r="I3" s="8"/>
      <c r="J3" s="74"/>
      <c r="K3" s="116" t="s">
        <v>259</v>
      </c>
      <c r="L3" s="281"/>
      <c r="M3" s="27" t="s">
        <v>5</v>
      </c>
      <c r="N3" s="8" t="s">
        <v>5</v>
      </c>
      <c r="O3" s="74" t="s">
        <v>5</v>
      </c>
      <c r="P3" s="28" t="s">
        <v>259</v>
      </c>
      <c r="Q3" s="8" t="s">
        <v>3</v>
      </c>
      <c r="R3" s="8" t="s">
        <v>3</v>
      </c>
      <c r="S3" s="74" t="s">
        <v>3</v>
      </c>
      <c r="T3" s="28" t="s">
        <v>259</v>
      </c>
      <c r="U3" s="8" t="s">
        <v>3</v>
      </c>
      <c r="V3" s="8" t="s">
        <v>3</v>
      </c>
      <c r="W3" s="3"/>
      <c r="X3" s="3"/>
    </row>
    <row r="4" spans="1:29" s="5" customFormat="1" ht="15" customHeight="1" x14ac:dyDescent="0.25">
      <c r="A4" s="5" t="s">
        <v>243</v>
      </c>
      <c r="B4" s="29" t="s">
        <v>13</v>
      </c>
      <c r="C4" s="29" t="s">
        <v>244</v>
      </c>
      <c r="D4" s="30" t="s">
        <v>10</v>
      </c>
      <c r="E4" s="30" t="s">
        <v>11</v>
      </c>
      <c r="F4" s="30" t="s">
        <v>256</v>
      </c>
      <c r="G4" s="115" t="s">
        <v>261</v>
      </c>
      <c r="H4" s="29"/>
      <c r="I4" s="29"/>
      <c r="J4" s="29"/>
      <c r="K4" s="117" t="s">
        <v>260</v>
      </c>
      <c r="L4" s="282"/>
      <c r="M4" s="31" t="s">
        <v>3</v>
      </c>
      <c r="N4" s="29" t="s">
        <v>4</v>
      </c>
      <c r="O4" s="29" t="s">
        <v>6</v>
      </c>
      <c r="P4" s="32" t="s">
        <v>260</v>
      </c>
      <c r="Q4" s="29" t="s">
        <v>3</v>
      </c>
      <c r="R4" s="29" t="s">
        <v>4</v>
      </c>
      <c r="S4" s="29" t="s">
        <v>6</v>
      </c>
      <c r="T4" s="32" t="s">
        <v>260</v>
      </c>
      <c r="U4" s="29" t="s">
        <v>5</v>
      </c>
      <c r="V4" s="29" t="s">
        <v>4</v>
      </c>
      <c r="W4" s="3"/>
      <c r="X4" s="3"/>
    </row>
    <row r="5" spans="1:29" s="34" customFormat="1" ht="18.75" x14ac:dyDescent="0.4">
      <c r="A5" s="33" t="s">
        <v>254</v>
      </c>
      <c r="C5" s="35"/>
      <c r="D5" s="36"/>
      <c r="E5" s="36"/>
      <c r="F5" s="36"/>
      <c r="G5" s="36"/>
      <c r="H5" s="35"/>
      <c r="I5" s="35"/>
      <c r="J5" s="75"/>
      <c r="K5" s="118"/>
      <c r="L5" s="81"/>
      <c r="M5" s="37"/>
      <c r="N5" s="35"/>
      <c r="O5" s="75"/>
      <c r="P5" s="38"/>
      <c r="Q5" s="35"/>
      <c r="R5" s="35"/>
      <c r="S5" s="75"/>
      <c r="T5" s="38"/>
      <c r="U5" s="35"/>
      <c r="V5" s="35"/>
    </row>
    <row r="6" spans="1:29" s="46" customFormat="1" x14ac:dyDescent="0.25">
      <c r="A6" s="39" t="s">
        <v>245</v>
      </c>
      <c r="B6" s="40" t="s">
        <v>56</v>
      </c>
      <c r="C6" s="41" t="s">
        <v>184</v>
      </c>
      <c r="D6" s="42">
        <v>44927</v>
      </c>
      <c r="E6" s="42">
        <v>45291</v>
      </c>
      <c r="F6" s="42">
        <f>((D6+E6)/2)-2</f>
        <v>45107</v>
      </c>
      <c r="G6" s="112">
        <f>_xlfn.XLOOKUP(F6,'A-6 CMS Market Basket Index '!$AZ$3:$AZ$8,'A-6 CMS Market Basket Index '!$BF$3:$BF$8)</f>
        <v>1.0538000000000001</v>
      </c>
      <c r="H6" s="43">
        <f t="shared" ref="H6:H37" si="0">IFERROR(M6+Q6,0)</f>
        <v>1974114</v>
      </c>
      <c r="I6" s="44">
        <f t="shared" ref="I6:I37" si="1">IFERROR(N6+R6,0)</f>
        <v>63733</v>
      </c>
      <c r="J6" s="65">
        <f t="shared" ref="J6:J37" si="2">IFERROR(H6/I6,"")</f>
        <v>30.974754052060941</v>
      </c>
      <c r="K6" s="76">
        <f t="shared" ref="K6:K37" si="3">IF(J6="","",J6*$G6)</f>
        <v>32.641195820061824</v>
      </c>
      <c r="L6" s="51" t="str">
        <f>IF($K$96&lt;0,"",IF(K6&lt;$K$96,"OL",""))</f>
        <v/>
      </c>
      <c r="M6" s="43">
        <v>524336</v>
      </c>
      <c r="N6" s="44">
        <v>50644</v>
      </c>
      <c r="O6" s="65">
        <v>10.35</v>
      </c>
      <c r="P6" s="51">
        <f t="shared" ref="P6:P37" si="4">IF(O6="","",O6*$G6)</f>
        <v>10.906830000000001</v>
      </c>
      <c r="Q6" s="44">
        <v>1449778</v>
      </c>
      <c r="R6" s="44">
        <v>13089</v>
      </c>
      <c r="S6" s="65">
        <v>110.76</v>
      </c>
      <c r="T6" s="51">
        <f t="shared" ref="T6:T37" si="5">IF(S6="","",S6*$G6)</f>
        <v>116.71888800000001</v>
      </c>
      <c r="U6" s="46" t="s">
        <v>16</v>
      </c>
      <c r="V6" s="46">
        <v>84010</v>
      </c>
      <c r="W6" s="69" t="s">
        <v>212</v>
      </c>
      <c r="X6" s="70" t="s">
        <v>213</v>
      </c>
      <c r="Z6" s="47"/>
      <c r="AA6" s="267"/>
      <c r="AB6" s="48"/>
      <c r="AC6" s="48"/>
    </row>
    <row r="7" spans="1:29" s="46" customFormat="1" x14ac:dyDescent="0.25">
      <c r="A7" s="39" t="s">
        <v>245</v>
      </c>
      <c r="B7" s="40" t="s">
        <v>65</v>
      </c>
      <c r="C7" s="41" t="s">
        <v>66</v>
      </c>
      <c r="D7" s="42">
        <v>44927</v>
      </c>
      <c r="E7" s="42">
        <v>45291</v>
      </c>
      <c r="F7" s="42">
        <f>((D7+E7)/2)-2</f>
        <v>45107</v>
      </c>
      <c r="G7" s="112">
        <f>_xlfn.XLOOKUP(F7,'A-6 CMS Market Basket Index '!$AZ$3:$AZ$8,'A-6 CMS Market Basket Index '!$BF$3:$BF$8)</f>
        <v>1.0538000000000001</v>
      </c>
      <c r="H7" s="43">
        <f t="shared" si="0"/>
        <v>25939</v>
      </c>
      <c r="I7" s="44">
        <f t="shared" si="1"/>
        <v>741</v>
      </c>
      <c r="J7" s="65">
        <f t="shared" si="2"/>
        <v>35.005398110661268</v>
      </c>
      <c r="K7" s="76">
        <f t="shared" si="3"/>
        <v>36.88868852901485</v>
      </c>
      <c r="L7" s="51"/>
      <c r="M7" s="43">
        <v>25939</v>
      </c>
      <c r="N7" s="44">
        <v>741</v>
      </c>
      <c r="O7" s="65">
        <v>35.01</v>
      </c>
      <c r="P7" s="51">
        <f t="shared" si="4"/>
        <v>36.893537999999999</v>
      </c>
      <c r="Q7" s="44"/>
      <c r="R7" s="44"/>
      <c r="S7" s="65"/>
      <c r="T7" s="51" t="str">
        <f t="shared" si="5"/>
        <v/>
      </c>
      <c r="U7" s="46" t="s">
        <v>39</v>
      </c>
      <c r="V7" s="46">
        <v>84041</v>
      </c>
      <c r="W7" s="69" t="s">
        <v>212</v>
      </c>
      <c r="X7" s="70" t="s">
        <v>213</v>
      </c>
      <c r="Z7" s="47"/>
      <c r="AA7" s="267"/>
      <c r="AB7" s="48"/>
      <c r="AC7" s="48"/>
    </row>
    <row r="8" spans="1:29" s="46" customFormat="1" x14ac:dyDescent="0.25">
      <c r="A8" s="39" t="s">
        <v>245</v>
      </c>
      <c r="B8" s="40" t="s">
        <v>140</v>
      </c>
      <c r="C8" s="41" t="s">
        <v>141</v>
      </c>
      <c r="D8" s="42">
        <v>44927</v>
      </c>
      <c r="E8" s="42">
        <v>45291</v>
      </c>
      <c r="F8" s="42">
        <f>((D8+E8)/2)-2</f>
        <v>45107</v>
      </c>
      <c r="G8" s="112">
        <f>_xlfn.XLOOKUP(F8,'A-6 CMS Market Basket Index '!$AZ$3:$AZ$8,'A-6 CMS Market Basket Index '!$BF$3:$BF$8)</f>
        <v>1.0538000000000001</v>
      </c>
      <c r="H8" s="43">
        <f t="shared" si="0"/>
        <v>2963736</v>
      </c>
      <c r="I8" s="44">
        <f t="shared" si="1"/>
        <v>75604</v>
      </c>
      <c r="J8" s="65">
        <f t="shared" si="2"/>
        <v>39.200783027353047</v>
      </c>
      <c r="K8" s="76">
        <f t="shared" si="3"/>
        <v>41.309785154224642</v>
      </c>
      <c r="L8" s="51"/>
      <c r="M8" s="43">
        <v>2963736</v>
      </c>
      <c r="N8" s="44">
        <v>75604</v>
      </c>
      <c r="O8" s="65">
        <v>39.200000000000003</v>
      </c>
      <c r="P8" s="51">
        <f t="shared" si="4"/>
        <v>41.308960000000006</v>
      </c>
      <c r="Q8" s="44"/>
      <c r="R8" s="44"/>
      <c r="S8" s="65"/>
      <c r="T8" s="51" t="str">
        <f t="shared" si="5"/>
        <v/>
      </c>
      <c r="U8" s="46" t="s">
        <v>142</v>
      </c>
      <c r="V8" s="46">
        <v>84663</v>
      </c>
      <c r="W8" s="69" t="s">
        <v>15</v>
      </c>
      <c r="X8" s="70" t="s">
        <v>213</v>
      </c>
      <c r="Z8" s="47"/>
      <c r="AA8" s="267"/>
      <c r="AB8" s="48"/>
      <c r="AC8" s="48"/>
    </row>
    <row r="9" spans="1:29" s="46" customFormat="1" x14ac:dyDescent="0.25">
      <c r="A9" s="39" t="s">
        <v>245</v>
      </c>
      <c r="B9" s="40" t="s">
        <v>169</v>
      </c>
      <c r="C9" s="41" t="s">
        <v>170</v>
      </c>
      <c r="D9" s="42">
        <v>44927</v>
      </c>
      <c r="E9" s="42">
        <v>45291</v>
      </c>
      <c r="F9" s="42">
        <f>((D9+E9)/2)-2</f>
        <v>45107</v>
      </c>
      <c r="G9" s="112">
        <f>_xlfn.XLOOKUP(F9,'A-6 CMS Market Basket Index '!$AZ$3:$AZ$8,'A-6 CMS Market Basket Index '!$BF$3:$BF$8)</f>
        <v>1.0538000000000001</v>
      </c>
      <c r="H9" s="43">
        <f t="shared" si="0"/>
        <v>91405</v>
      </c>
      <c r="I9" s="44">
        <f t="shared" si="1"/>
        <v>1809</v>
      </c>
      <c r="J9" s="65">
        <f t="shared" si="2"/>
        <v>50.527915975677168</v>
      </c>
      <c r="K9" s="76">
        <f t="shared" si="3"/>
        <v>53.246317855168606</v>
      </c>
      <c r="L9" s="51"/>
      <c r="M9" s="43">
        <v>91105</v>
      </c>
      <c r="N9" s="44">
        <v>1802</v>
      </c>
      <c r="O9" s="65">
        <v>50.56</v>
      </c>
      <c r="P9" s="51">
        <f t="shared" si="4"/>
        <v>53.280128000000005</v>
      </c>
      <c r="Q9" s="44">
        <v>300</v>
      </c>
      <c r="R9" s="44">
        <v>7</v>
      </c>
      <c r="S9" s="65">
        <v>42.86</v>
      </c>
      <c r="T9" s="51">
        <f t="shared" si="5"/>
        <v>45.165868000000003</v>
      </c>
      <c r="U9" s="46" t="s">
        <v>45</v>
      </c>
      <c r="V9" s="46">
        <v>84020</v>
      </c>
      <c r="W9" s="69" t="s">
        <v>218</v>
      </c>
      <c r="X9" s="70" t="s">
        <v>209</v>
      </c>
      <c r="Z9" s="47"/>
      <c r="AA9" s="267"/>
      <c r="AB9" s="48"/>
      <c r="AC9" s="48"/>
    </row>
    <row r="10" spans="1:29" s="46" customFormat="1" x14ac:dyDescent="0.25">
      <c r="A10" s="39" t="s">
        <v>245</v>
      </c>
      <c r="B10" s="40" t="s">
        <v>189</v>
      </c>
      <c r="C10" s="41" t="s">
        <v>190</v>
      </c>
      <c r="D10" s="42">
        <v>45078</v>
      </c>
      <c r="E10" s="42">
        <v>45443</v>
      </c>
      <c r="F10" s="42">
        <f>((D10+E10)/2)</f>
        <v>45260.5</v>
      </c>
      <c r="G10" s="112">
        <f>_xlfn.XLOOKUP(F10,'A-6 CMS Market Basket Index '!$AZ$3:$AZ$8,'A-6 CMS Market Basket Index '!$BF$3:$BF$8)</f>
        <v>1.0366</v>
      </c>
      <c r="H10" s="43">
        <f t="shared" si="0"/>
        <v>1786875</v>
      </c>
      <c r="I10" s="44">
        <f t="shared" si="1"/>
        <v>32549</v>
      </c>
      <c r="J10" s="65">
        <f t="shared" si="2"/>
        <v>54.897999938554179</v>
      </c>
      <c r="K10" s="76">
        <f t="shared" si="3"/>
        <v>56.90726673630526</v>
      </c>
      <c r="L10" s="51"/>
      <c r="M10" s="43">
        <v>1775801</v>
      </c>
      <c r="N10" s="44">
        <v>32460</v>
      </c>
      <c r="O10" s="65">
        <v>54.71</v>
      </c>
      <c r="P10" s="51">
        <f t="shared" si="4"/>
        <v>56.712386000000002</v>
      </c>
      <c r="Q10" s="44">
        <v>11074</v>
      </c>
      <c r="R10" s="44">
        <v>89</v>
      </c>
      <c r="S10" s="65">
        <v>124.43</v>
      </c>
      <c r="T10" s="51">
        <f t="shared" si="5"/>
        <v>128.984138</v>
      </c>
      <c r="U10" s="46" t="s">
        <v>191</v>
      </c>
      <c r="V10" s="46">
        <v>84317</v>
      </c>
      <c r="W10" s="69" t="s">
        <v>224</v>
      </c>
      <c r="X10" s="70" t="s">
        <v>213</v>
      </c>
      <c r="Z10" s="47"/>
      <c r="AA10" s="267"/>
      <c r="AB10" s="48"/>
      <c r="AC10" s="48"/>
    </row>
    <row r="11" spans="1:29" s="46" customFormat="1" x14ac:dyDescent="0.25">
      <c r="A11" s="39" t="s">
        <v>245</v>
      </c>
      <c r="B11" s="40" t="s">
        <v>134</v>
      </c>
      <c r="C11" s="41" t="s">
        <v>135</v>
      </c>
      <c r="D11" s="42">
        <v>44927</v>
      </c>
      <c r="E11" s="42">
        <v>45291</v>
      </c>
      <c r="F11" s="42">
        <f>((D11+E11)/2)-2</f>
        <v>45107</v>
      </c>
      <c r="G11" s="112">
        <f>_xlfn.XLOOKUP(F11,'A-6 CMS Market Basket Index '!$AZ$3:$AZ$8,'A-6 CMS Market Basket Index '!$BF$3:$BF$8)</f>
        <v>1.0538000000000001</v>
      </c>
      <c r="H11" s="43">
        <f t="shared" si="0"/>
        <v>204999</v>
      </c>
      <c r="I11" s="44">
        <f t="shared" si="1"/>
        <v>3348</v>
      </c>
      <c r="J11" s="65">
        <f t="shared" si="2"/>
        <v>61.230286738351253</v>
      </c>
      <c r="K11" s="76">
        <f t="shared" si="3"/>
        <v>64.524476164874557</v>
      </c>
      <c r="L11" s="51"/>
      <c r="M11" s="43">
        <v>203399</v>
      </c>
      <c r="N11" s="44">
        <v>3333</v>
      </c>
      <c r="O11" s="65">
        <v>61.03</v>
      </c>
      <c r="P11" s="51">
        <f t="shared" si="4"/>
        <v>64.313414000000009</v>
      </c>
      <c r="Q11" s="44">
        <v>1600</v>
      </c>
      <c r="R11" s="44">
        <v>15</v>
      </c>
      <c r="S11" s="65">
        <v>106.67</v>
      </c>
      <c r="T11" s="51">
        <f t="shared" si="5"/>
        <v>112.40884600000001</v>
      </c>
      <c r="U11" s="46" t="s">
        <v>17</v>
      </c>
      <c r="V11" s="46">
        <v>84057</v>
      </c>
      <c r="W11" s="69" t="s">
        <v>15</v>
      </c>
      <c r="X11" s="70" t="s">
        <v>213</v>
      </c>
      <c r="Z11" s="47"/>
      <c r="AA11" s="267"/>
      <c r="AB11" s="48"/>
      <c r="AC11" s="48"/>
    </row>
    <row r="12" spans="1:29" s="46" customFormat="1" x14ac:dyDescent="0.25">
      <c r="A12" s="50" t="s">
        <v>246</v>
      </c>
      <c r="B12" s="86" t="s">
        <v>22</v>
      </c>
      <c r="C12" s="87">
        <v>467039</v>
      </c>
      <c r="D12" s="88">
        <v>44743</v>
      </c>
      <c r="E12" s="88">
        <v>45107</v>
      </c>
      <c r="F12" s="42">
        <f>((D12+E12)/2)+1</f>
        <v>44926</v>
      </c>
      <c r="G12" s="112">
        <f>_xlfn.XLOOKUP(F12,'A-6 CMS Market Basket Index '!$AZ$3:$AZ$8,'A-6 CMS Market Basket Index '!$BF$3:$BF$8)</f>
        <v>1.0788</v>
      </c>
      <c r="H12" s="43">
        <f t="shared" si="0"/>
        <v>225818</v>
      </c>
      <c r="I12" s="44">
        <f t="shared" si="1"/>
        <v>3654</v>
      </c>
      <c r="J12" s="65">
        <f t="shared" si="2"/>
        <v>61.800218938149975</v>
      </c>
      <c r="K12" s="76">
        <f t="shared" si="3"/>
        <v>66.670076190476195</v>
      </c>
      <c r="L12" s="51"/>
      <c r="M12" s="89">
        <v>225818</v>
      </c>
      <c r="N12" s="49">
        <v>3654</v>
      </c>
      <c r="O12" s="80">
        <v>61.8</v>
      </c>
      <c r="P12" s="51">
        <f t="shared" si="4"/>
        <v>66.669839999999994</v>
      </c>
      <c r="Q12" s="49"/>
      <c r="R12" s="49"/>
      <c r="S12" s="80"/>
      <c r="T12" s="51" t="str">
        <f t="shared" si="5"/>
        <v/>
      </c>
      <c r="U12" s="90" t="s">
        <v>21</v>
      </c>
      <c r="V12" s="90">
        <v>84066</v>
      </c>
      <c r="W12" s="91" t="s">
        <v>214</v>
      </c>
      <c r="X12" s="92" t="s">
        <v>209</v>
      </c>
      <c r="Y12" s="52" t="s">
        <v>19</v>
      </c>
      <c r="Z12" s="53" t="s">
        <v>20</v>
      </c>
      <c r="AA12" s="267"/>
      <c r="AB12" s="48"/>
      <c r="AC12" s="48"/>
    </row>
    <row r="13" spans="1:29" s="46" customFormat="1" x14ac:dyDescent="0.25">
      <c r="A13" s="39" t="s">
        <v>245</v>
      </c>
      <c r="B13" s="40" t="s">
        <v>182</v>
      </c>
      <c r="C13" s="41" t="s">
        <v>183</v>
      </c>
      <c r="D13" s="42">
        <v>44927</v>
      </c>
      <c r="E13" s="42">
        <v>45291</v>
      </c>
      <c r="F13" s="42">
        <f t="shared" ref="F13:F18" si="6">((D13+E13)/2)-2</f>
        <v>45107</v>
      </c>
      <c r="G13" s="112">
        <f>_xlfn.XLOOKUP(F13,'A-6 CMS Market Basket Index '!$AZ$3:$AZ$8,'A-6 CMS Market Basket Index '!$BF$3:$BF$8)</f>
        <v>1.0538000000000001</v>
      </c>
      <c r="H13" s="43">
        <f t="shared" si="0"/>
        <v>392481</v>
      </c>
      <c r="I13" s="44">
        <f t="shared" si="1"/>
        <v>5593</v>
      </c>
      <c r="J13" s="65">
        <f t="shared" si="2"/>
        <v>70.173609869479705</v>
      </c>
      <c r="K13" s="76">
        <f t="shared" si="3"/>
        <v>73.94895008045772</v>
      </c>
      <c r="L13" s="51"/>
      <c r="M13" s="43">
        <v>392481</v>
      </c>
      <c r="N13" s="44">
        <v>5593</v>
      </c>
      <c r="O13" s="65">
        <v>70.17</v>
      </c>
      <c r="P13" s="51">
        <f t="shared" si="4"/>
        <v>73.945146000000008</v>
      </c>
      <c r="Q13" s="44"/>
      <c r="R13" s="44"/>
      <c r="S13" s="65"/>
      <c r="T13" s="51" t="str">
        <f t="shared" si="5"/>
        <v/>
      </c>
      <c r="U13" s="46" t="s">
        <v>48</v>
      </c>
      <c r="V13" s="46">
        <v>84107</v>
      </c>
      <c r="W13" s="69" t="s">
        <v>218</v>
      </c>
      <c r="X13" s="70" t="s">
        <v>209</v>
      </c>
      <c r="Z13" s="47"/>
      <c r="AA13" s="267"/>
      <c r="AB13" s="48"/>
      <c r="AC13" s="48"/>
    </row>
    <row r="14" spans="1:29" s="46" customFormat="1" x14ac:dyDescent="0.25">
      <c r="A14" s="39" t="s">
        <v>245</v>
      </c>
      <c r="B14" s="40" t="s">
        <v>95</v>
      </c>
      <c r="C14" s="41" t="s">
        <v>96</v>
      </c>
      <c r="D14" s="42">
        <v>44927</v>
      </c>
      <c r="E14" s="42">
        <v>45291</v>
      </c>
      <c r="F14" s="42">
        <f t="shared" si="6"/>
        <v>45107</v>
      </c>
      <c r="G14" s="112">
        <f>_xlfn.XLOOKUP(F14,'A-6 CMS Market Basket Index '!$AZ$3:$AZ$8,'A-6 CMS Market Basket Index '!$BF$3:$BF$8)</f>
        <v>1.0538000000000001</v>
      </c>
      <c r="H14" s="43">
        <f t="shared" si="0"/>
        <v>105863</v>
      </c>
      <c r="I14" s="44">
        <f t="shared" si="1"/>
        <v>1390</v>
      </c>
      <c r="J14" s="65">
        <f t="shared" si="2"/>
        <v>76.160431654676259</v>
      </c>
      <c r="K14" s="76">
        <f t="shared" si="3"/>
        <v>80.257862877697846</v>
      </c>
      <c r="L14" s="51"/>
      <c r="M14" s="43">
        <v>105863</v>
      </c>
      <c r="N14" s="44">
        <v>1390</v>
      </c>
      <c r="O14" s="65">
        <v>76.16</v>
      </c>
      <c r="P14" s="51">
        <f t="shared" si="4"/>
        <v>80.257407999999998</v>
      </c>
      <c r="Q14" s="44"/>
      <c r="R14" s="44"/>
      <c r="S14" s="65"/>
      <c r="T14" s="51" t="str">
        <f t="shared" si="5"/>
        <v/>
      </c>
      <c r="U14" s="46" t="s">
        <v>97</v>
      </c>
      <c r="V14" s="46">
        <v>84015</v>
      </c>
      <c r="W14" s="69" t="s">
        <v>212</v>
      </c>
      <c r="X14" s="70" t="s">
        <v>213</v>
      </c>
      <c r="Z14" s="47"/>
      <c r="AA14" s="267"/>
      <c r="AB14" s="48"/>
      <c r="AC14" s="48"/>
    </row>
    <row r="15" spans="1:29" s="46" customFormat="1" x14ac:dyDescent="0.25">
      <c r="A15" s="39" t="s">
        <v>245</v>
      </c>
      <c r="B15" s="40" t="s">
        <v>67</v>
      </c>
      <c r="C15" s="41" t="s">
        <v>68</v>
      </c>
      <c r="D15" s="42">
        <v>44927</v>
      </c>
      <c r="E15" s="42">
        <v>45291</v>
      </c>
      <c r="F15" s="42">
        <f t="shared" si="6"/>
        <v>45107</v>
      </c>
      <c r="G15" s="112">
        <f>_xlfn.XLOOKUP(F15,'A-6 CMS Market Basket Index '!$AZ$3:$AZ$8,'A-6 CMS Market Basket Index '!$BF$3:$BF$8)</f>
        <v>1.0538000000000001</v>
      </c>
      <c r="H15" s="43">
        <f t="shared" si="0"/>
        <v>128525</v>
      </c>
      <c r="I15" s="44">
        <f t="shared" si="1"/>
        <v>1679</v>
      </c>
      <c r="J15" s="65">
        <f t="shared" si="2"/>
        <v>76.548540798094109</v>
      </c>
      <c r="K15" s="76">
        <f t="shared" si="3"/>
        <v>80.666852293031582</v>
      </c>
      <c r="L15" s="51"/>
      <c r="M15" s="43">
        <v>120440</v>
      </c>
      <c r="N15" s="44">
        <v>1542</v>
      </c>
      <c r="O15" s="65">
        <v>78.11</v>
      </c>
      <c r="P15" s="51">
        <f t="shared" si="4"/>
        <v>82.312318000000005</v>
      </c>
      <c r="Q15" s="44">
        <v>8085</v>
      </c>
      <c r="R15" s="44">
        <v>137</v>
      </c>
      <c r="S15" s="65">
        <v>59.01</v>
      </c>
      <c r="T15" s="51">
        <f t="shared" si="5"/>
        <v>62.184738000000003</v>
      </c>
      <c r="U15" s="46" t="s">
        <v>52</v>
      </c>
      <c r="V15" s="46">
        <v>84790</v>
      </c>
      <c r="W15" s="69" t="s">
        <v>223</v>
      </c>
      <c r="X15" s="70" t="s">
        <v>209</v>
      </c>
      <c r="Z15" s="47"/>
      <c r="AA15" s="267"/>
      <c r="AB15" s="48"/>
      <c r="AC15" s="48"/>
    </row>
    <row r="16" spans="1:29" s="46" customFormat="1" x14ac:dyDescent="0.25">
      <c r="A16" s="39" t="s">
        <v>245</v>
      </c>
      <c r="B16" s="40" t="s">
        <v>71</v>
      </c>
      <c r="C16" s="41" t="s">
        <v>72</v>
      </c>
      <c r="D16" s="42">
        <v>44927</v>
      </c>
      <c r="E16" s="42">
        <v>45291</v>
      </c>
      <c r="F16" s="42">
        <f t="shared" si="6"/>
        <v>45107</v>
      </c>
      <c r="G16" s="112">
        <f>_xlfn.XLOOKUP(F16,'A-6 CMS Market Basket Index '!$AZ$3:$AZ$8,'A-6 CMS Market Basket Index '!$BF$3:$BF$8)</f>
        <v>1.0538000000000001</v>
      </c>
      <c r="H16" s="43">
        <f t="shared" si="0"/>
        <v>819072</v>
      </c>
      <c r="I16" s="44">
        <f t="shared" si="1"/>
        <v>9721</v>
      </c>
      <c r="J16" s="65">
        <f t="shared" si="2"/>
        <v>84.257998148338643</v>
      </c>
      <c r="K16" s="76">
        <f t="shared" si="3"/>
        <v>88.791078448719261</v>
      </c>
      <c r="L16" s="51"/>
      <c r="M16" s="43">
        <v>819072</v>
      </c>
      <c r="N16" s="44">
        <v>9721</v>
      </c>
      <c r="O16" s="65">
        <v>84.26</v>
      </c>
      <c r="P16" s="51">
        <f t="shared" si="4"/>
        <v>88.793188000000015</v>
      </c>
      <c r="Q16" s="44"/>
      <c r="R16" s="44"/>
      <c r="S16" s="65"/>
      <c r="T16" s="51" t="str">
        <f t="shared" si="5"/>
        <v/>
      </c>
      <c r="U16" s="46" t="s">
        <v>17</v>
      </c>
      <c r="V16" s="46">
        <v>84057</v>
      </c>
      <c r="W16" s="69" t="s">
        <v>15</v>
      </c>
      <c r="X16" s="70" t="s">
        <v>213</v>
      </c>
      <c r="Z16" s="47"/>
      <c r="AA16" s="267"/>
      <c r="AB16" s="48"/>
      <c r="AC16" s="48"/>
    </row>
    <row r="17" spans="1:29" s="46" customFormat="1" x14ac:dyDescent="0.25">
      <c r="A17" s="39" t="s">
        <v>245</v>
      </c>
      <c r="B17" s="40" t="s">
        <v>175</v>
      </c>
      <c r="C17" s="41" t="s">
        <v>176</v>
      </c>
      <c r="D17" s="42">
        <v>44927</v>
      </c>
      <c r="E17" s="42">
        <v>45291</v>
      </c>
      <c r="F17" s="42">
        <f t="shared" si="6"/>
        <v>45107</v>
      </c>
      <c r="G17" s="112">
        <f>_xlfn.XLOOKUP(F17,'A-6 CMS Market Basket Index '!$AZ$3:$AZ$8,'A-6 CMS Market Basket Index '!$BF$3:$BF$8)</f>
        <v>1.0538000000000001</v>
      </c>
      <c r="H17" s="43">
        <f t="shared" si="0"/>
        <v>23437</v>
      </c>
      <c r="I17" s="44">
        <f t="shared" si="1"/>
        <v>273</v>
      </c>
      <c r="J17" s="65">
        <f t="shared" si="2"/>
        <v>85.849816849816847</v>
      </c>
      <c r="K17" s="76">
        <f t="shared" si="3"/>
        <v>90.468536996336994</v>
      </c>
      <c r="L17" s="51"/>
      <c r="M17" s="43">
        <v>23437</v>
      </c>
      <c r="N17" s="44">
        <v>273</v>
      </c>
      <c r="O17" s="65">
        <v>85.85</v>
      </c>
      <c r="P17" s="51">
        <f t="shared" si="4"/>
        <v>90.468729999999994</v>
      </c>
      <c r="Q17" s="44"/>
      <c r="R17" s="44"/>
      <c r="S17" s="65"/>
      <c r="T17" s="51" t="str">
        <f t="shared" si="5"/>
        <v/>
      </c>
      <c r="U17" s="46" t="s">
        <v>177</v>
      </c>
      <c r="V17" s="46">
        <v>84332</v>
      </c>
      <c r="W17" s="69" t="s">
        <v>210</v>
      </c>
      <c r="X17" s="70" t="s">
        <v>209</v>
      </c>
      <c r="Z17" s="47"/>
      <c r="AA17" s="267"/>
      <c r="AB17" s="48"/>
      <c r="AC17" s="48"/>
    </row>
    <row r="18" spans="1:29" s="46" customFormat="1" x14ac:dyDescent="0.25">
      <c r="A18" s="39" t="s">
        <v>245</v>
      </c>
      <c r="B18" s="40" t="s">
        <v>167</v>
      </c>
      <c r="C18" s="41" t="s">
        <v>168</v>
      </c>
      <c r="D18" s="42">
        <v>44927</v>
      </c>
      <c r="E18" s="42">
        <v>45291</v>
      </c>
      <c r="F18" s="42">
        <f t="shared" si="6"/>
        <v>45107</v>
      </c>
      <c r="G18" s="112">
        <f>_xlfn.XLOOKUP(F18,'A-6 CMS Market Basket Index '!$AZ$3:$AZ$8,'A-6 CMS Market Basket Index '!$BF$3:$BF$8)</f>
        <v>1.0538000000000001</v>
      </c>
      <c r="H18" s="43">
        <f t="shared" si="0"/>
        <v>4262</v>
      </c>
      <c r="I18" s="44">
        <f t="shared" si="1"/>
        <v>48</v>
      </c>
      <c r="J18" s="65">
        <f t="shared" si="2"/>
        <v>88.791666666666671</v>
      </c>
      <c r="K18" s="76">
        <f t="shared" si="3"/>
        <v>93.568658333333346</v>
      </c>
      <c r="L18" s="51"/>
      <c r="M18" s="43">
        <v>3779</v>
      </c>
      <c r="N18" s="44">
        <v>43</v>
      </c>
      <c r="O18" s="65">
        <v>87.88</v>
      </c>
      <c r="P18" s="51">
        <f t="shared" si="4"/>
        <v>92.607944000000003</v>
      </c>
      <c r="Q18" s="44">
        <v>483</v>
      </c>
      <c r="R18" s="44">
        <v>5</v>
      </c>
      <c r="S18" s="65">
        <v>96.6</v>
      </c>
      <c r="T18" s="51">
        <f t="shared" si="5"/>
        <v>101.79707999999999</v>
      </c>
      <c r="U18" s="46" t="s">
        <v>46</v>
      </c>
      <c r="V18" s="46">
        <v>84660</v>
      </c>
      <c r="W18" s="69" t="s">
        <v>15</v>
      </c>
      <c r="X18" s="70" t="s">
        <v>213</v>
      </c>
      <c r="Z18" s="47"/>
      <c r="AA18" s="267"/>
      <c r="AB18" s="48"/>
      <c r="AC18" s="48"/>
    </row>
    <row r="19" spans="1:29" s="46" customFormat="1" x14ac:dyDescent="0.25">
      <c r="A19" s="39" t="s">
        <v>245</v>
      </c>
      <c r="B19" s="40" t="s">
        <v>174</v>
      </c>
      <c r="C19" s="41" t="s">
        <v>164</v>
      </c>
      <c r="D19" s="42">
        <v>44911</v>
      </c>
      <c r="E19" s="42">
        <v>45291</v>
      </c>
      <c r="F19" s="42">
        <f>((D19+E19)/2)+6</f>
        <v>45107</v>
      </c>
      <c r="G19" s="112">
        <f>_xlfn.XLOOKUP(F19,'A-6 CMS Market Basket Index '!$AZ$3:$AZ$8,'A-6 CMS Market Basket Index '!$BF$3:$BF$8)</f>
        <v>1.0538000000000001</v>
      </c>
      <c r="H19" s="43">
        <f t="shared" si="0"/>
        <v>7164</v>
      </c>
      <c r="I19" s="44">
        <f t="shared" si="1"/>
        <v>71</v>
      </c>
      <c r="J19" s="65">
        <f t="shared" si="2"/>
        <v>100.90140845070422</v>
      </c>
      <c r="K19" s="76">
        <f t="shared" si="3"/>
        <v>106.32990422535212</v>
      </c>
      <c r="L19" s="51"/>
      <c r="M19" s="43">
        <v>7164</v>
      </c>
      <c r="N19" s="44">
        <v>71</v>
      </c>
      <c r="O19" s="65">
        <v>100.9</v>
      </c>
      <c r="P19" s="51">
        <f t="shared" si="4"/>
        <v>106.32842000000001</v>
      </c>
      <c r="Q19" s="44"/>
      <c r="R19" s="44"/>
      <c r="S19" s="65"/>
      <c r="T19" s="51" t="str">
        <f t="shared" si="5"/>
        <v/>
      </c>
      <c r="U19" s="46" t="s">
        <v>112</v>
      </c>
      <c r="V19" s="46">
        <v>84043</v>
      </c>
      <c r="W19" s="69" t="s">
        <v>15</v>
      </c>
      <c r="X19" s="70" t="s">
        <v>213</v>
      </c>
      <c r="Z19" s="47"/>
      <c r="AA19" s="267"/>
      <c r="AB19" s="48"/>
      <c r="AC19" s="48"/>
    </row>
    <row r="20" spans="1:29" s="46" customFormat="1" x14ac:dyDescent="0.25">
      <c r="A20" s="39" t="s">
        <v>245</v>
      </c>
      <c r="B20" s="40" t="s">
        <v>187</v>
      </c>
      <c r="C20" s="41" t="s">
        <v>188</v>
      </c>
      <c r="D20" s="42">
        <v>44927</v>
      </c>
      <c r="E20" s="42">
        <v>45291</v>
      </c>
      <c r="F20" s="42">
        <f t="shared" ref="F20:F54" si="7">((D20+E20)/2)-2</f>
        <v>45107</v>
      </c>
      <c r="G20" s="112">
        <f>_xlfn.XLOOKUP(F20,'A-6 CMS Market Basket Index '!$AZ$3:$AZ$8,'A-6 CMS Market Basket Index '!$BF$3:$BF$8)</f>
        <v>1.0538000000000001</v>
      </c>
      <c r="H20" s="43">
        <f t="shared" si="0"/>
        <v>98424</v>
      </c>
      <c r="I20" s="44">
        <f t="shared" si="1"/>
        <v>945</v>
      </c>
      <c r="J20" s="65">
        <f t="shared" si="2"/>
        <v>104.15238095238095</v>
      </c>
      <c r="K20" s="76">
        <f t="shared" si="3"/>
        <v>109.75577904761906</v>
      </c>
      <c r="L20" s="51"/>
      <c r="M20" s="43">
        <v>98424</v>
      </c>
      <c r="N20" s="44">
        <v>945</v>
      </c>
      <c r="O20" s="65">
        <v>104.15</v>
      </c>
      <c r="P20" s="51">
        <f t="shared" si="4"/>
        <v>109.75327000000001</v>
      </c>
      <c r="Q20" s="44"/>
      <c r="R20" s="44"/>
      <c r="S20" s="65"/>
      <c r="T20" s="51" t="str">
        <f t="shared" si="5"/>
        <v/>
      </c>
      <c r="U20" s="46" t="s">
        <v>18</v>
      </c>
      <c r="V20" s="46">
        <v>84105</v>
      </c>
      <c r="W20" s="69" t="s">
        <v>218</v>
      </c>
      <c r="X20" s="70" t="s">
        <v>209</v>
      </c>
      <c r="Z20" s="47"/>
      <c r="AA20" s="267"/>
      <c r="AB20" s="48"/>
      <c r="AC20" s="48"/>
    </row>
    <row r="21" spans="1:29" s="46" customFormat="1" x14ac:dyDescent="0.25">
      <c r="A21" s="39" t="s">
        <v>245</v>
      </c>
      <c r="B21" s="40" t="s">
        <v>162</v>
      </c>
      <c r="C21" s="41" t="s">
        <v>163</v>
      </c>
      <c r="D21" s="42">
        <v>44927</v>
      </c>
      <c r="E21" s="42">
        <v>45291</v>
      </c>
      <c r="F21" s="42">
        <f t="shared" si="7"/>
        <v>45107</v>
      </c>
      <c r="G21" s="112">
        <f>_xlfn.XLOOKUP(F21,'A-6 CMS Market Basket Index '!$AZ$3:$AZ$8,'A-6 CMS Market Basket Index '!$BF$3:$BF$8)</f>
        <v>1.0538000000000001</v>
      </c>
      <c r="H21" s="43">
        <f t="shared" si="0"/>
        <v>256184</v>
      </c>
      <c r="I21" s="44">
        <f t="shared" si="1"/>
        <v>2377</v>
      </c>
      <c r="J21" s="65">
        <f t="shared" si="2"/>
        <v>107.77618847286496</v>
      </c>
      <c r="K21" s="76">
        <f t="shared" si="3"/>
        <v>113.5745474127051</v>
      </c>
      <c r="L21" s="51"/>
      <c r="M21" s="43">
        <v>245250</v>
      </c>
      <c r="N21" s="44">
        <v>2221</v>
      </c>
      <c r="O21" s="65">
        <v>110.42</v>
      </c>
      <c r="P21" s="51">
        <f t="shared" si="4"/>
        <v>116.36059600000002</v>
      </c>
      <c r="Q21" s="44">
        <v>10934</v>
      </c>
      <c r="R21" s="44">
        <v>156</v>
      </c>
      <c r="S21" s="65">
        <v>70.09</v>
      </c>
      <c r="T21" s="51">
        <f t="shared" si="5"/>
        <v>73.860842000000005</v>
      </c>
      <c r="U21" s="46" t="s">
        <v>51</v>
      </c>
      <c r="V21" s="46">
        <v>84720</v>
      </c>
      <c r="W21" s="69" t="s">
        <v>216</v>
      </c>
      <c r="X21" s="70" t="s">
        <v>209</v>
      </c>
      <c r="Z21" s="47"/>
      <c r="AA21" s="267"/>
      <c r="AB21" s="48"/>
      <c r="AC21" s="48"/>
    </row>
    <row r="22" spans="1:29" s="46" customFormat="1" x14ac:dyDescent="0.25">
      <c r="A22" s="39" t="s">
        <v>245</v>
      </c>
      <c r="B22" s="40" t="s">
        <v>121</v>
      </c>
      <c r="C22" s="41" t="s">
        <v>122</v>
      </c>
      <c r="D22" s="42">
        <v>44927</v>
      </c>
      <c r="E22" s="42">
        <v>45291</v>
      </c>
      <c r="F22" s="42">
        <f t="shared" si="7"/>
        <v>45107</v>
      </c>
      <c r="G22" s="112">
        <f>_xlfn.XLOOKUP(F22,'A-6 CMS Market Basket Index '!$AZ$3:$AZ$8,'A-6 CMS Market Basket Index '!$BF$3:$BF$8)</f>
        <v>1.0538000000000001</v>
      </c>
      <c r="H22" s="43">
        <f t="shared" si="0"/>
        <v>1692950</v>
      </c>
      <c r="I22" s="44">
        <f t="shared" si="1"/>
        <v>15527</v>
      </c>
      <c r="J22" s="65">
        <f t="shared" si="2"/>
        <v>109.03265279835126</v>
      </c>
      <c r="K22" s="76">
        <f t="shared" si="3"/>
        <v>114.89860951890257</v>
      </c>
      <c r="L22" s="51"/>
      <c r="M22" s="43">
        <v>1502018</v>
      </c>
      <c r="N22" s="44">
        <v>9271</v>
      </c>
      <c r="O22" s="65">
        <v>162.01</v>
      </c>
      <c r="P22" s="51">
        <f t="shared" si="4"/>
        <v>170.72613799999999</v>
      </c>
      <c r="Q22" s="44">
        <v>190932</v>
      </c>
      <c r="R22" s="44">
        <v>6256</v>
      </c>
      <c r="S22" s="65">
        <v>30.52</v>
      </c>
      <c r="T22" s="51">
        <f t="shared" si="5"/>
        <v>32.161976000000003</v>
      </c>
      <c r="U22" s="46" t="s">
        <v>17</v>
      </c>
      <c r="V22" s="46">
        <v>84057</v>
      </c>
      <c r="W22" s="69" t="s">
        <v>15</v>
      </c>
      <c r="X22" s="70" t="s">
        <v>213</v>
      </c>
      <c r="Z22" s="47"/>
      <c r="AA22" s="267"/>
      <c r="AB22" s="48"/>
      <c r="AC22" s="48"/>
    </row>
    <row r="23" spans="1:29" s="46" customFormat="1" x14ac:dyDescent="0.25">
      <c r="A23" s="39" t="s">
        <v>245</v>
      </c>
      <c r="B23" s="40" t="s">
        <v>185</v>
      </c>
      <c r="C23" s="41" t="s">
        <v>186</v>
      </c>
      <c r="D23" s="42">
        <v>44927</v>
      </c>
      <c r="E23" s="42">
        <v>45291</v>
      </c>
      <c r="F23" s="42">
        <f t="shared" si="7"/>
        <v>45107</v>
      </c>
      <c r="G23" s="112">
        <f>_xlfn.XLOOKUP(F23,'A-6 CMS Market Basket Index '!$AZ$3:$AZ$8,'A-6 CMS Market Basket Index '!$BF$3:$BF$8)</f>
        <v>1.0538000000000001</v>
      </c>
      <c r="H23" s="43">
        <f t="shared" si="0"/>
        <v>2169362</v>
      </c>
      <c r="I23" s="44">
        <f t="shared" si="1"/>
        <v>19605</v>
      </c>
      <c r="J23" s="65">
        <f t="shared" si="2"/>
        <v>110.65350675847998</v>
      </c>
      <c r="K23" s="76">
        <f t="shared" si="3"/>
        <v>116.60666542208621</v>
      </c>
      <c r="L23" s="51"/>
      <c r="M23" s="43">
        <v>2148715</v>
      </c>
      <c r="N23" s="44">
        <v>19555</v>
      </c>
      <c r="O23" s="65">
        <v>109.88</v>
      </c>
      <c r="P23" s="51">
        <f t="shared" si="4"/>
        <v>115.791544</v>
      </c>
      <c r="Q23" s="44">
        <v>20647</v>
      </c>
      <c r="R23" s="44">
        <v>50</v>
      </c>
      <c r="S23" s="65">
        <v>412.94</v>
      </c>
      <c r="T23" s="51">
        <f t="shared" si="5"/>
        <v>435.15617200000003</v>
      </c>
      <c r="U23" s="46" t="s">
        <v>39</v>
      </c>
      <c r="V23" s="46">
        <v>84041</v>
      </c>
      <c r="W23" s="69" t="s">
        <v>212</v>
      </c>
      <c r="X23" s="70" t="s">
        <v>213</v>
      </c>
      <c r="Z23" s="47"/>
      <c r="AA23" s="267"/>
      <c r="AB23" s="48"/>
      <c r="AC23" s="48"/>
    </row>
    <row r="24" spans="1:29" s="46" customFormat="1" x14ac:dyDescent="0.25">
      <c r="A24" s="39" t="s">
        <v>245</v>
      </c>
      <c r="B24" s="40" t="s">
        <v>136</v>
      </c>
      <c r="C24" s="41" t="s">
        <v>137</v>
      </c>
      <c r="D24" s="42">
        <v>44927</v>
      </c>
      <c r="E24" s="42">
        <v>45291</v>
      </c>
      <c r="F24" s="42">
        <f t="shared" si="7"/>
        <v>45107</v>
      </c>
      <c r="G24" s="112">
        <f>_xlfn.XLOOKUP(F24,'A-6 CMS Market Basket Index '!$AZ$3:$AZ$8,'A-6 CMS Market Basket Index '!$BF$3:$BF$8)</f>
        <v>1.0538000000000001</v>
      </c>
      <c r="H24" s="43">
        <f t="shared" si="0"/>
        <v>338896</v>
      </c>
      <c r="I24" s="44">
        <f t="shared" si="1"/>
        <v>2993</v>
      </c>
      <c r="J24" s="65">
        <f t="shared" si="2"/>
        <v>113.22953558302706</v>
      </c>
      <c r="K24" s="76">
        <f t="shared" si="3"/>
        <v>119.32128459739393</v>
      </c>
      <c r="L24" s="51"/>
      <c r="M24" s="43">
        <v>287746</v>
      </c>
      <c r="N24" s="44">
        <v>2630</v>
      </c>
      <c r="O24" s="65">
        <v>109.41</v>
      </c>
      <c r="P24" s="51">
        <f t="shared" si="4"/>
        <v>115.29625800000001</v>
      </c>
      <c r="Q24" s="44">
        <v>51150</v>
      </c>
      <c r="R24" s="44">
        <v>363</v>
      </c>
      <c r="S24" s="65">
        <v>140.91</v>
      </c>
      <c r="T24" s="51">
        <f t="shared" si="5"/>
        <v>148.49095800000001</v>
      </c>
      <c r="U24" s="46" t="s">
        <v>48</v>
      </c>
      <c r="V24" s="46">
        <v>84106</v>
      </c>
      <c r="W24" s="69" t="s">
        <v>218</v>
      </c>
      <c r="X24" s="70" t="s">
        <v>209</v>
      </c>
      <c r="Z24" s="47"/>
      <c r="AA24" s="267"/>
      <c r="AB24" s="48"/>
      <c r="AC24" s="48"/>
    </row>
    <row r="25" spans="1:29" s="46" customFormat="1" x14ac:dyDescent="0.25">
      <c r="A25" s="39" t="s">
        <v>245</v>
      </c>
      <c r="B25" s="40" t="s">
        <v>127</v>
      </c>
      <c r="C25" s="41" t="s">
        <v>128</v>
      </c>
      <c r="D25" s="42">
        <v>44927</v>
      </c>
      <c r="E25" s="42">
        <v>45291</v>
      </c>
      <c r="F25" s="42">
        <f t="shared" si="7"/>
        <v>45107</v>
      </c>
      <c r="G25" s="112">
        <f>_xlfn.XLOOKUP(F25,'A-6 CMS Market Basket Index '!$AZ$3:$AZ$8,'A-6 CMS Market Basket Index '!$BF$3:$BF$8)</f>
        <v>1.0538000000000001</v>
      </c>
      <c r="H25" s="43">
        <f t="shared" si="0"/>
        <v>1334428</v>
      </c>
      <c r="I25" s="44">
        <f t="shared" si="1"/>
        <v>11400</v>
      </c>
      <c r="J25" s="65">
        <f t="shared" si="2"/>
        <v>117.05508771929824</v>
      </c>
      <c r="K25" s="76">
        <f t="shared" si="3"/>
        <v>123.3526514385965</v>
      </c>
      <c r="L25" s="51"/>
      <c r="M25" s="43">
        <v>1231980</v>
      </c>
      <c r="N25" s="44">
        <v>8874</v>
      </c>
      <c r="O25" s="65">
        <v>138.83000000000001</v>
      </c>
      <c r="P25" s="51">
        <f t="shared" si="4"/>
        <v>146.29905400000001</v>
      </c>
      <c r="Q25" s="44">
        <v>102448</v>
      </c>
      <c r="R25" s="44">
        <v>2526</v>
      </c>
      <c r="S25" s="65">
        <v>40.56</v>
      </c>
      <c r="T25" s="51">
        <f t="shared" si="5"/>
        <v>42.742128000000008</v>
      </c>
      <c r="U25" s="46" t="s">
        <v>129</v>
      </c>
      <c r="V25" s="46">
        <v>84063</v>
      </c>
      <c r="W25" s="69" t="s">
        <v>222</v>
      </c>
      <c r="X25" s="70" t="s">
        <v>209</v>
      </c>
      <c r="Z25" s="47"/>
      <c r="AA25" s="267"/>
      <c r="AB25" s="48"/>
      <c r="AC25" s="48"/>
    </row>
    <row r="26" spans="1:29" s="46" customFormat="1" x14ac:dyDescent="0.25">
      <c r="A26" s="39" t="s">
        <v>245</v>
      </c>
      <c r="B26" s="40" t="s">
        <v>69</v>
      </c>
      <c r="C26" s="41" t="s">
        <v>70</v>
      </c>
      <c r="D26" s="42">
        <v>44927</v>
      </c>
      <c r="E26" s="42">
        <v>45291</v>
      </c>
      <c r="F26" s="42">
        <f t="shared" si="7"/>
        <v>45107</v>
      </c>
      <c r="G26" s="112">
        <f>_xlfn.XLOOKUP(F26,'A-6 CMS Market Basket Index '!$AZ$3:$AZ$8,'A-6 CMS Market Basket Index '!$BF$3:$BF$8)</f>
        <v>1.0538000000000001</v>
      </c>
      <c r="H26" s="43">
        <f t="shared" si="0"/>
        <v>1381240</v>
      </c>
      <c r="I26" s="44">
        <f t="shared" si="1"/>
        <v>11317</v>
      </c>
      <c r="J26" s="65">
        <f t="shared" si="2"/>
        <v>122.05001325439603</v>
      </c>
      <c r="K26" s="76">
        <f t="shared" si="3"/>
        <v>128.61630396748254</v>
      </c>
      <c r="L26" s="51"/>
      <c r="M26" s="43">
        <v>321762</v>
      </c>
      <c r="N26" s="44">
        <v>10486</v>
      </c>
      <c r="O26" s="65">
        <v>30.68</v>
      </c>
      <c r="P26" s="51">
        <f t="shared" si="4"/>
        <v>32.330584000000002</v>
      </c>
      <c r="Q26" s="44">
        <v>1059478</v>
      </c>
      <c r="R26" s="44">
        <v>831</v>
      </c>
      <c r="S26" s="65">
        <v>1274.94</v>
      </c>
      <c r="T26" s="51">
        <f t="shared" si="5"/>
        <v>1343.531772</v>
      </c>
      <c r="U26" s="46" t="s">
        <v>48</v>
      </c>
      <c r="V26" s="46">
        <v>84123</v>
      </c>
      <c r="W26" s="69" t="s">
        <v>218</v>
      </c>
      <c r="X26" s="70" t="s">
        <v>209</v>
      </c>
      <c r="Z26" s="47"/>
      <c r="AA26" s="267"/>
      <c r="AB26" s="48"/>
      <c r="AC26" s="48"/>
    </row>
    <row r="27" spans="1:29" s="46" customFormat="1" x14ac:dyDescent="0.25">
      <c r="A27" s="39" t="s">
        <v>245</v>
      </c>
      <c r="B27" s="40" t="s">
        <v>81</v>
      </c>
      <c r="C27" s="41" t="s">
        <v>82</v>
      </c>
      <c r="D27" s="42">
        <v>44927</v>
      </c>
      <c r="E27" s="42">
        <v>45291</v>
      </c>
      <c r="F27" s="42">
        <f t="shared" si="7"/>
        <v>45107</v>
      </c>
      <c r="G27" s="112">
        <f>_xlfn.XLOOKUP(F27,'A-6 CMS Market Basket Index '!$AZ$3:$AZ$8,'A-6 CMS Market Basket Index '!$BF$3:$BF$8)</f>
        <v>1.0538000000000001</v>
      </c>
      <c r="H27" s="43">
        <f t="shared" si="0"/>
        <v>3052374</v>
      </c>
      <c r="I27" s="44">
        <f t="shared" si="1"/>
        <v>24392</v>
      </c>
      <c r="J27" s="65">
        <f t="shared" si="2"/>
        <v>125.13832404066908</v>
      </c>
      <c r="K27" s="76">
        <f t="shared" si="3"/>
        <v>131.87076587405707</v>
      </c>
      <c r="L27" s="51"/>
      <c r="M27" s="43">
        <v>2804062</v>
      </c>
      <c r="N27" s="44">
        <v>23963</v>
      </c>
      <c r="O27" s="65">
        <v>117.02</v>
      </c>
      <c r="P27" s="51">
        <f t="shared" si="4"/>
        <v>123.31567600000001</v>
      </c>
      <c r="Q27" s="44">
        <v>248312</v>
      </c>
      <c r="R27" s="44">
        <v>429</v>
      </c>
      <c r="S27" s="65">
        <v>578.82000000000005</v>
      </c>
      <c r="T27" s="51">
        <f t="shared" si="5"/>
        <v>609.9605160000001</v>
      </c>
      <c r="U27" s="46" t="s">
        <v>83</v>
      </c>
      <c r="V27" s="46">
        <v>84041</v>
      </c>
      <c r="W27" s="69" t="s">
        <v>212</v>
      </c>
      <c r="X27" s="70" t="s">
        <v>213</v>
      </c>
      <c r="Z27" s="47"/>
      <c r="AA27" s="267"/>
      <c r="AB27" s="48"/>
      <c r="AC27" s="48"/>
    </row>
    <row r="28" spans="1:29" s="46" customFormat="1" x14ac:dyDescent="0.25">
      <c r="A28" s="39" t="s">
        <v>245</v>
      </c>
      <c r="B28" s="40" t="s">
        <v>102</v>
      </c>
      <c r="C28" s="41" t="s">
        <v>103</v>
      </c>
      <c r="D28" s="42">
        <v>44927</v>
      </c>
      <c r="E28" s="42">
        <v>45291</v>
      </c>
      <c r="F28" s="42">
        <f t="shared" si="7"/>
        <v>45107</v>
      </c>
      <c r="G28" s="112">
        <f>_xlfn.XLOOKUP(F28,'A-6 CMS Market Basket Index '!$AZ$3:$AZ$8,'A-6 CMS Market Basket Index '!$BF$3:$BF$8)</f>
        <v>1.0538000000000001</v>
      </c>
      <c r="H28" s="43">
        <f t="shared" si="0"/>
        <v>11137120</v>
      </c>
      <c r="I28" s="44">
        <f t="shared" si="1"/>
        <v>88553</v>
      </c>
      <c r="J28" s="65">
        <f t="shared" si="2"/>
        <v>125.76784524522037</v>
      </c>
      <c r="K28" s="76">
        <f t="shared" si="3"/>
        <v>132.53415531941323</v>
      </c>
      <c r="L28" s="51"/>
      <c r="M28" s="43">
        <v>11137120</v>
      </c>
      <c r="N28" s="44">
        <v>88553</v>
      </c>
      <c r="O28" s="65">
        <v>125.77</v>
      </c>
      <c r="P28" s="51">
        <f t="shared" si="4"/>
        <v>132.53642600000001</v>
      </c>
      <c r="Q28" s="44"/>
      <c r="R28" s="44"/>
      <c r="S28" s="65"/>
      <c r="T28" s="51" t="str">
        <f t="shared" si="5"/>
        <v/>
      </c>
      <c r="U28" s="46" t="s">
        <v>104</v>
      </c>
      <c r="V28" s="46">
        <v>84119</v>
      </c>
      <c r="W28" s="69" t="s">
        <v>218</v>
      </c>
      <c r="X28" s="70" t="s">
        <v>209</v>
      </c>
      <c r="Z28" s="47"/>
      <c r="AA28" s="267"/>
      <c r="AB28" s="48"/>
      <c r="AC28" s="48"/>
    </row>
    <row r="29" spans="1:29" s="46" customFormat="1" x14ac:dyDescent="0.25">
      <c r="A29" s="39" t="s">
        <v>245</v>
      </c>
      <c r="B29" s="40" t="s">
        <v>125</v>
      </c>
      <c r="C29" s="41" t="s">
        <v>126</v>
      </c>
      <c r="D29" s="42">
        <v>44927</v>
      </c>
      <c r="E29" s="42">
        <v>45291</v>
      </c>
      <c r="F29" s="42">
        <f t="shared" si="7"/>
        <v>45107</v>
      </c>
      <c r="G29" s="112">
        <f>_xlfn.XLOOKUP(F29,'A-6 CMS Market Basket Index '!$AZ$3:$AZ$8,'A-6 CMS Market Basket Index '!$BF$3:$BF$8)</f>
        <v>1.0538000000000001</v>
      </c>
      <c r="H29" s="43">
        <f t="shared" si="0"/>
        <v>2329807</v>
      </c>
      <c r="I29" s="44">
        <f t="shared" si="1"/>
        <v>18344</v>
      </c>
      <c r="J29" s="65">
        <f t="shared" si="2"/>
        <v>127.00648713475796</v>
      </c>
      <c r="K29" s="76">
        <f t="shared" si="3"/>
        <v>133.83943614260795</v>
      </c>
      <c r="L29" s="51"/>
      <c r="M29" s="43">
        <v>2329807</v>
      </c>
      <c r="N29" s="44">
        <v>18344</v>
      </c>
      <c r="O29" s="65">
        <v>127.01</v>
      </c>
      <c r="P29" s="51">
        <f t="shared" si="4"/>
        <v>133.84313800000001</v>
      </c>
      <c r="Q29" s="44"/>
      <c r="R29" s="44"/>
      <c r="S29" s="65"/>
      <c r="T29" s="51" t="str">
        <f t="shared" si="5"/>
        <v/>
      </c>
      <c r="U29" s="46" t="s">
        <v>48</v>
      </c>
      <c r="V29" s="46">
        <v>84123</v>
      </c>
      <c r="W29" s="69" t="s">
        <v>218</v>
      </c>
      <c r="X29" s="70" t="s">
        <v>209</v>
      </c>
      <c r="Z29" s="47"/>
      <c r="AA29" s="267"/>
      <c r="AB29" s="48"/>
      <c r="AC29" s="48"/>
    </row>
    <row r="30" spans="1:29" s="46" customFormat="1" x14ac:dyDescent="0.25">
      <c r="A30" s="39" t="s">
        <v>245</v>
      </c>
      <c r="B30" s="40" t="s">
        <v>138</v>
      </c>
      <c r="C30" s="41" t="s">
        <v>139</v>
      </c>
      <c r="D30" s="42">
        <v>44927</v>
      </c>
      <c r="E30" s="42">
        <v>45291</v>
      </c>
      <c r="F30" s="42">
        <f t="shared" si="7"/>
        <v>45107</v>
      </c>
      <c r="G30" s="112">
        <f>_xlfn.XLOOKUP(F30,'A-6 CMS Market Basket Index '!$AZ$3:$AZ$8,'A-6 CMS Market Basket Index '!$BF$3:$BF$8)</f>
        <v>1.0538000000000001</v>
      </c>
      <c r="H30" s="43">
        <f t="shared" si="0"/>
        <v>330923</v>
      </c>
      <c r="I30" s="44">
        <f t="shared" si="1"/>
        <v>2539</v>
      </c>
      <c r="J30" s="65">
        <f t="shared" si="2"/>
        <v>130.33595903899172</v>
      </c>
      <c r="K30" s="76">
        <f t="shared" si="3"/>
        <v>137.34803363528948</v>
      </c>
      <c r="L30" s="51"/>
      <c r="M30" s="43">
        <v>279487</v>
      </c>
      <c r="N30" s="44">
        <v>2015</v>
      </c>
      <c r="O30" s="65">
        <v>138.69999999999999</v>
      </c>
      <c r="P30" s="51">
        <f t="shared" si="4"/>
        <v>146.16206</v>
      </c>
      <c r="Q30" s="44">
        <v>51436</v>
      </c>
      <c r="R30" s="44">
        <v>524</v>
      </c>
      <c r="S30" s="65">
        <v>98.16</v>
      </c>
      <c r="T30" s="51">
        <f t="shared" si="5"/>
        <v>103.441008</v>
      </c>
      <c r="U30" s="46" t="s">
        <v>51</v>
      </c>
      <c r="V30" s="46">
        <v>84721</v>
      </c>
      <c r="W30" s="69" t="s">
        <v>216</v>
      </c>
      <c r="X30" s="70" t="s">
        <v>209</v>
      </c>
      <c r="Z30" s="47"/>
      <c r="AA30" s="267"/>
      <c r="AB30" s="48"/>
      <c r="AC30" s="48"/>
    </row>
    <row r="31" spans="1:29" s="46" customFormat="1" x14ac:dyDescent="0.25">
      <c r="A31" s="39" t="s">
        <v>245</v>
      </c>
      <c r="B31" s="40" t="s">
        <v>147</v>
      </c>
      <c r="C31" s="41" t="s">
        <v>148</v>
      </c>
      <c r="D31" s="42">
        <v>44927</v>
      </c>
      <c r="E31" s="42">
        <v>45291</v>
      </c>
      <c r="F31" s="42">
        <f t="shared" si="7"/>
        <v>45107</v>
      </c>
      <c r="G31" s="112">
        <f>_xlfn.XLOOKUP(F31,'A-6 CMS Market Basket Index '!$AZ$3:$AZ$8,'A-6 CMS Market Basket Index '!$BF$3:$BF$8)</f>
        <v>1.0538000000000001</v>
      </c>
      <c r="H31" s="43">
        <f t="shared" si="0"/>
        <v>29586</v>
      </c>
      <c r="I31" s="44">
        <f t="shared" si="1"/>
        <v>225</v>
      </c>
      <c r="J31" s="65">
        <f t="shared" si="2"/>
        <v>131.49333333333334</v>
      </c>
      <c r="K31" s="76">
        <f t="shared" si="3"/>
        <v>138.56767466666668</v>
      </c>
      <c r="L31" s="51"/>
      <c r="M31" s="43">
        <v>29383</v>
      </c>
      <c r="N31" s="44">
        <v>221</v>
      </c>
      <c r="O31" s="65">
        <v>132.94999999999999</v>
      </c>
      <c r="P31" s="51">
        <f t="shared" si="4"/>
        <v>140.10271</v>
      </c>
      <c r="Q31" s="44">
        <v>203</v>
      </c>
      <c r="R31" s="44">
        <v>4</v>
      </c>
      <c r="S31" s="65">
        <v>50.75</v>
      </c>
      <c r="T31" s="51">
        <f t="shared" si="5"/>
        <v>53.480350000000001</v>
      </c>
      <c r="U31" s="46" t="s">
        <v>149</v>
      </c>
      <c r="V31" s="46">
        <v>84414</v>
      </c>
      <c r="W31" s="69" t="s">
        <v>224</v>
      </c>
      <c r="X31" s="70" t="s">
        <v>213</v>
      </c>
      <c r="Z31" s="47"/>
      <c r="AA31" s="267"/>
      <c r="AB31" s="48"/>
      <c r="AC31" s="48"/>
    </row>
    <row r="32" spans="1:29" s="46" customFormat="1" x14ac:dyDescent="0.25">
      <c r="A32" s="39" t="s">
        <v>245</v>
      </c>
      <c r="B32" s="40" t="s">
        <v>111</v>
      </c>
      <c r="C32" s="41" t="s">
        <v>90</v>
      </c>
      <c r="D32" s="42">
        <v>44927</v>
      </c>
      <c r="E32" s="42">
        <v>45291</v>
      </c>
      <c r="F32" s="42">
        <f t="shared" si="7"/>
        <v>45107</v>
      </c>
      <c r="G32" s="112">
        <f>_xlfn.XLOOKUP(F32,'A-6 CMS Market Basket Index '!$AZ$3:$AZ$8,'A-6 CMS Market Basket Index '!$BF$3:$BF$8)</f>
        <v>1.0538000000000001</v>
      </c>
      <c r="H32" s="43">
        <f t="shared" si="0"/>
        <v>990984</v>
      </c>
      <c r="I32" s="44">
        <f t="shared" si="1"/>
        <v>7433</v>
      </c>
      <c r="J32" s="65">
        <f t="shared" si="2"/>
        <v>133.32221175837481</v>
      </c>
      <c r="K32" s="76">
        <f t="shared" si="3"/>
        <v>140.49494675097537</v>
      </c>
      <c r="L32" s="51"/>
      <c r="M32" s="43">
        <v>990984</v>
      </c>
      <c r="N32" s="44">
        <v>7433</v>
      </c>
      <c r="O32" s="65">
        <v>133.32</v>
      </c>
      <c r="P32" s="51">
        <f t="shared" si="4"/>
        <v>140.492616</v>
      </c>
      <c r="Q32" s="44"/>
      <c r="R32" s="44"/>
      <c r="S32" s="65"/>
      <c r="T32" s="51" t="str">
        <f t="shared" si="5"/>
        <v/>
      </c>
      <c r="U32" s="46" t="s">
        <v>45</v>
      </c>
      <c r="V32" s="46">
        <v>84020</v>
      </c>
      <c r="W32" s="69" t="s">
        <v>218</v>
      </c>
      <c r="X32" s="70" t="s">
        <v>209</v>
      </c>
      <c r="Z32" s="47"/>
      <c r="AA32" s="267"/>
      <c r="AB32" s="48"/>
      <c r="AC32" s="48"/>
    </row>
    <row r="33" spans="1:29" s="46" customFormat="1" x14ac:dyDescent="0.25">
      <c r="A33" s="39" t="s">
        <v>245</v>
      </c>
      <c r="B33" s="40" t="s">
        <v>63</v>
      </c>
      <c r="C33" s="41" t="s">
        <v>64</v>
      </c>
      <c r="D33" s="42">
        <v>44927</v>
      </c>
      <c r="E33" s="42">
        <v>45291</v>
      </c>
      <c r="F33" s="42">
        <f t="shared" si="7"/>
        <v>45107</v>
      </c>
      <c r="G33" s="112">
        <f>_xlfn.XLOOKUP(F33,'A-6 CMS Market Basket Index '!$AZ$3:$AZ$8,'A-6 CMS Market Basket Index '!$BF$3:$BF$8)</f>
        <v>1.0538000000000001</v>
      </c>
      <c r="H33" s="43">
        <f t="shared" si="0"/>
        <v>812676</v>
      </c>
      <c r="I33" s="44">
        <f t="shared" si="1"/>
        <v>6095</v>
      </c>
      <c r="J33" s="65">
        <f t="shared" si="2"/>
        <v>133.33486464315013</v>
      </c>
      <c r="K33" s="76">
        <f t="shared" si="3"/>
        <v>140.5082803609516</v>
      </c>
      <c r="L33" s="51"/>
      <c r="M33" s="43">
        <v>804015</v>
      </c>
      <c r="N33" s="44">
        <v>6001</v>
      </c>
      <c r="O33" s="65">
        <v>133.97999999999999</v>
      </c>
      <c r="P33" s="51">
        <f t="shared" si="4"/>
        <v>141.18812399999999</v>
      </c>
      <c r="Q33" s="44">
        <v>8661</v>
      </c>
      <c r="R33" s="44">
        <v>94</v>
      </c>
      <c r="S33" s="65">
        <v>92.14</v>
      </c>
      <c r="T33" s="51">
        <f t="shared" si="5"/>
        <v>97.097132000000002</v>
      </c>
      <c r="U33" s="46" t="s">
        <v>48</v>
      </c>
      <c r="V33" s="46">
        <v>84107</v>
      </c>
      <c r="W33" s="69" t="s">
        <v>218</v>
      </c>
      <c r="X33" s="70" t="s">
        <v>209</v>
      </c>
      <c r="Z33" s="47"/>
      <c r="AA33" s="267"/>
      <c r="AB33" s="48"/>
      <c r="AC33" s="48"/>
    </row>
    <row r="34" spans="1:29" s="46" customFormat="1" x14ac:dyDescent="0.25">
      <c r="A34" s="39" t="s">
        <v>245</v>
      </c>
      <c r="B34" s="40" t="s">
        <v>132</v>
      </c>
      <c r="C34" s="41" t="s">
        <v>91</v>
      </c>
      <c r="D34" s="42">
        <v>44927</v>
      </c>
      <c r="E34" s="42">
        <v>45291</v>
      </c>
      <c r="F34" s="42">
        <f t="shared" si="7"/>
        <v>45107</v>
      </c>
      <c r="G34" s="112">
        <f>_xlfn.XLOOKUP(F34,'A-6 CMS Market Basket Index '!$AZ$3:$AZ$8,'A-6 CMS Market Basket Index '!$BF$3:$BF$8)</f>
        <v>1.0538000000000001</v>
      </c>
      <c r="H34" s="43">
        <f t="shared" si="0"/>
        <v>7982444</v>
      </c>
      <c r="I34" s="44">
        <f t="shared" si="1"/>
        <v>59154</v>
      </c>
      <c r="J34" s="65">
        <f t="shared" si="2"/>
        <v>134.94343577780032</v>
      </c>
      <c r="K34" s="76">
        <f t="shared" si="3"/>
        <v>142.20339262264599</v>
      </c>
      <c r="L34" s="51"/>
      <c r="M34" s="43">
        <v>7874196</v>
      </c>
      <c r="N34" s="44">
        <v>57576</v>
      </c>
      <c r="O34" s="65">
        <v>136.76</v>
      </c>
      <c r="P34" s="51">
        <f t="shared" si="4"/>
        <v>144.11768799999999</v>
      </c>
      <c r="Q34" s="44">
        <v>108248</v>
      </c>
      <c r="R34" s="44">
        <v>1578</v>
      </c>
      <c r="S34" s="65">
        <v>68.599999999999994</v>
      </c>
      <c r="T34" s="51">
        <f t="shared" si="5"/>
        <v>72.290679999999995</v>
      </c>
      <c r="U34" s="46" t="s">
        <v>48</v>
      </c>
      <c r="V34" s="46">
        <v>84107</v>
      </c>
      <c r="W34" s="69" t="s">
        <v>218</v>
      </c>
      <c r="X34" s="70" t="s">
        <v>209</v>
      </c>
      <c r="Z34" s="47"/>
      <c r="AA34" s="267"/>
      <c r="AB34" s="48"/>
      <c r="AC34" s="48"/>
    </row>
    <row r="35" spans="1:29" s="46" customFormat="1" x14ac:dyDescent="0.25">
      <c r="A35" s="39" t="s">
        <v>245</v>
      </c>
      <c r="B35" s="40" t="s">
        <v>105</v>
      </c>
      <c r="C35" s="41" t="s">
        <v>106</v>
      </c>
      <c r="D35" s="42">
        <v>44927</v>
      </c>
      <c r="E35" s="42">
        <v>45291</v>
      </c>
      <c r="F35" s="42">
        <f t="shared" si="7"/>
        <v>45107</v>
      </c>
      <c r="G35" s="112">
        <f>_xlfn.XLOOKUP(F35,'A-6 CMS Market Basket Index '!$AZ$3:$AZ$8,'A-6 CMS Market Basket Index '!$BF$3:$BF$8)</f>
        <v>1.0538000000000001</v>
      </c>
      <c r="H35" s="43">
        <f t="shared" si="0"/>
        <v>1022528</v>
      </c>
      <c r="I35" s="44">
        <f t="shared" si="1"/>
        <v>7474</v>
      </c>
      <c r="J35" s="65">
        <f t="shared" si="2"/>
        <v>136.81134599946481</v>
      </c>
      <c r="K35" s="76">
        <f t="shared" si="3"/>
        <v>144.17179641423601</v>
      </c>
      <c r="L35" s="51"/>
      <c r="M35" s="43">
        <v>987985</v>
      </c>
      <c r="N35" s="44">
        <v>7468</v>
      </c>
      <c r="O35" s="65">
        <v>132.30000000000001</v>
      </c>
      <c r="P35" s="51">
        <f t="shared" si="4"/>
        <v>139.41774000000001</v>
      </c>
      <c r="Q35" s="44">
        <v>34543</v>
      </c>
      <c r="R35" s="44">
        <v>6</v>
      </c>
      <c r="S35" s="65">
        <v>5757.17</v>
      </c>
      <c r="T35" s="51">
        <f t="shared" si="5"/>
        <v>6066.9057460000004</v>
      </c>
      <c r="U35" s="46" t="s">
        <v>49</v>
      </c>
      <c r="V35" s="46">
        <v>84003</v>
      </c>
      <c r="W35" s="69" t="s">
        <v>15</v>
      </c>
      <c r="X35" s="70" t="s">
        <v>213</v>
      </c>
      <c r="Z35" s="47"/>
      <c r="AA35" s="267"/>
      <c r="AB35" s="48"/>
      <c r="AC35" s="48"/>
    </row>
    <row r="36" spans="1:29" s="46" customFormat="1" x14ac:dyDescent="0.25">
      <c r="A36" s="39" t="s">
        <v>245</v>
      </c>
      <c r="B36" s="40" t="s">
        <v>151</v>
      </c>
      <c r="C36" s="41" t="s">
        <v>150</v>
      </c>
      <c r="D36" s="42">
        <v>44927</v>
      </c>
      <c r="E36" s="42">
        <v>45291</v>
      </c>
      <c r="F36" s="42">
        <f t="shared" si="7"/>
        <v>45107</v>
      </c>
      <c r="G36" s="112">
        <f>_xlfn.XLOOKUP(F36,'A-6 CMS Market Basket Index '!$AZ$3:$AZ$8,'A-6 CMS Market Basket Index '!$BF$3:$BF$8)</f>
        <v>1.0538000000000001</v>
      </c>
      <c r="H36" s="43">
        <f t="shared" si="0"/>
        <v>1751797</v>
      </c>
      <c r="I36" s="44">
        <f t="shared" si="1"/>
        <v>11581</v>
      </c>
      <c r="J36" s="65">
        <f t="shared" si="2"/>
        <v>151.26474397720403</v>
      </c>
      <c r="K36" s="76">
        <f t="shared" si="3"/>
        <v>159.40278720317761</v>
      </c>
      <c r="L36" s="51"/>
      <c r="M36" s="43">
        <v>1642555</v>
      </c>
      <c r="N36" s="44">
        <v>10405</v>
      </c>
      <c r="O36" s="65">
        <v>157.86000000000001</v>
      </c>
      <c r="P36" s="51">
        <f t="shared" si="4"/>
        <v>166.35286800000003</v>
      </c>
      <c r="Q36" s="44">
        <v>109242</v>
      </c>
      <c r="R36" s="44">
        <v>1176</v>
      </c>
      <c r="S36" s="65">
        <v>92.89</v>
      </c>
      <c r="T36" s="51">
        <f t="shared" si="5"/>
        <v>97.887482000000006</v>
      </c>
      <c r="U36" s="46" t="s">
        <v>97</v>
      </c>
      <c r="V36" s="46">
        <v>84015</v>
      </c>
      <c r="W36" s="69" t="s">
        <v>212</v>
      </c>
      <c r="X36" s="70" t="s">
        <v>213</v>
      </c>
      <c r="Z36" s="47"/>
      <c r="AA36" s="267"/>
      <c r="AB36" s="48"/>
      <c r="AC36" s="48"/>
    </row>
    <row r="37" spans="1:29" s="46" customFormat="1" x14ac:dyDescent="0.25">
      <c r="A37" s="39" t="s">
        <v>245</v>
      </c>
      <c r="B37" s="40" t="s">
        <v>133</v>
      </c>
      <c r="C37" s="41" t="s">
        <v>92</v>
      </c>
      <c r="D37" s="42">
        <v>44927</v>
      </c>
      <c r="E37" s="42">
        <v>45291</v>
      </c>
      <c r="F37" s="42">
        <f t="shared" si="7"/>
        <v>45107</v>
      </c>
      <c r="G37" s="112">
        <f>_xlfn.XLOOKUP(F37,'A-6 CMS Market Basket Index '!$AZ$3:$AZ$8,'A-6 CMS Market Basket Index '!$BF$3:$BF$8)</f>
        <v>1.0538000000000001</v>
      </c>
      <c r="H37" s="43">
        <f t="shared" si="0"/>
        <v>630092</v>
      </c>
      <c r="I37" s="44">
        <f t="shared" si="1"/>
        <v>4101</v>
      </c>
      <c r="J37" s="65">
        <f t="shared" si="2"/>
        <v>153.64350158497928</v>
      </c>
      <c r="K37" s="76">
        <f t="shared" si="3"/>
        <v>161.90952197025118</v>
      </c>
      <c r="L37" s="51"/>
      <c r="M37" s="43">
        <v>570715</v>
      </c>
      <c r="N37" s="44">
        <v>3592</v>
      </c>
      <c r="O37" s="65">
        <v>158.88999999999999</v>
      </c>
      <c r="P37" s="51">
        <f t="shared" si="4"/>
        <v>167.43828199999999</v>
      </c>
      <c r="Q37" s="44">
        <v>59377</v>
      </c>
      <c r="R37" s="44">
        <v>509</v>
      </c>
      <c r="S37" s="65">
        <v>116.65</v>
      </c>
      <c r="T37" s="51">
        <f t="shared" si="5"/>
        <v>122.92577000000001</v>
      </c>
      <c r="U37" s="46" t="s">
        <v>52</v>
      </c>
      <c r="V37" s="46">
        <v>84790</v>
      </c>
      <c r="W37" s="69" t="s">
        <v>223</v>
      </c>
      <c r="X37" s="70" t="s">
        <v>209</v>
      </c>
      <c r="Z37" s="47"/>
      <c r="AA37" s="267"/>
      <c r="AB37" s="48"/>
      <c r="AC37" s="48"/>
    </row>
    <row r="38" spans="1:29" s="46" customFormat="1" x14ac:dyDescent="0.25">
      <c r="A38" s="39" t="s">
        <v>245</v>
      </c>
      <c r="B38" s="40" t="s">
        <v>119</v>
      </c>
      <c r="C38" s="41" t="s">
        <v>120</v>
      </c>
      <c r="D38" s="42">
        <v>44927</v>
      </c>
      <c r="E38" s="42">
        <v>45291</v>
      </c>
      <c r="F38" s="42">
        <f t="shared" si="7"/>
        <v>45107</v>
      </c>
      <c r="G38" s="112">
        <f>_xlfn.XLOOKUP(F38,'A-6 CMS Market Basket Index '!$AZ$3:$AZ$8,'A-6 CMS Market Basket Index '!$BF$3:$BF$8)</f>
        <v>1.0538000000000001</v>
      </c>
      <c r="H38" s="43">
        <f t="shared" ref="H38:H69" si="8">IFERROR(M38+Q38,0)</f>
        <v>3485794</v>
      </c>
      <c r="I38" s="44">
        <f t="shared" ref="I38:I69" si="9">IFERROR(N38+R38,0)</f>
        <v>21886</v>
      </c>
      <c r="J38" s="65">
        <f t="shared" ref="J38:J69" si="10">IFERROR(H38/I38,"")</f>
        <v>159.27049255231654</v>
      </c>
      <c r="K38" s="76">
        <f t="shared" ref="K38:K69" si="11">IF(J38="","",J38*$G38)</f>
        <v>167.83924505163117</v>
      </c>
      <c r="L38" s="51"/>
      <c r="M38" s="43">
        <v>3448757</v>
      </c>
      <c r="N38" s="44">
        <v>21224</v>
      </c>
      <c r="O38" s="65">
        <v>162.49</v>
      </c>
      <c r="P38" s="51">
        <f t="shared" ref="P38:P69" si="12">IF(O38="","",O38*$G38)</f>
        <v>171.23196200000001</v>
      </c>
      <c r="Q38" s="44">
        <v>37037</v>
      </c>
      <c r="R38" s="44">
        <v>662</v>
      </c>
      <c r="S38" s="65">
        <v>55.95</v>
      </c>
      <c r="T38" s="51">
        <f t="shared" ref="T38:T69" si="13">IF(S38="","",S38*$G38)</f>
        <v>58.960110000000007</v>
      </c>
      <c r="U38" s="46" t="s">
        <v>104</v>
      </c>
      <c r="V38" s="46">
        <v>84119</v>
      </c>
      <c r="W38" s="69" t="s">
        <v>218</v>
      </c>
      <c r="X38" s="70" t="s">
        <v>209</v>
      </c>
      <c r="Z38" s="47"/>
      <c r="AA38" s="267"/>
      <c r="AB38" s="48"/>
      <c r="AC38" s="48"/>
    </row>
    <row r="39" spans="1:29" s="46" customFormat="1" x14ac:dyDescent="0.25">
      <c r="A39" s="39" t="s">
        <v>245</v>
      </c>
      <c r="B39" s="40" t="s">
        <v>58</v>
      </c>
      <c r="C39" s="41" t="s">
        <v>59</v>
      </c>
      <c r="D39" s="42">
        <v>44927</v>
      </c>
      <c r="E39" s="42">
        <v>45291</v>
      </c>
      <c r="F39" s="42">
        <f t="shared" si="7"/>
        <v>45107</v>
      </c>
      <c r="G39" s="112">
        <f>_xlfn.XLOOKUP(F39,'A-6 CMS Market Basket Index '!$AZ$3:$AZ$8,'A-6 CMS Market Basket Index '!$BF$3:$BF$8)</f>
        <v>1.0538000000000001</v>
      </c>
      <c r="H39" s="43">
        <f t="shared" si="8"/>
        <v>1285460</v>
      </c>
      <c r="I39" s="44">
        <f t="shared" si="9"/>
        <v>8035</v>
      </c>
      <c r="J39" s="65">
        <f t="shared" si="10"/>
        <v>159.98257622899814</v>
      </c>
      <c r="K39" s="76">
        <f t="shared" si="11"/>
        <v>168.58963883011825</v>
      </c>
      <c r="L39" s="51"/>
      <c r="M39" s="43">
        <v>1237344</v>
      </c>
      <c r="N39" s="44">
        <v>7315</v>
      </c>
      <c r="O39" s="65">
        <v>169.15</v>
      </c>
      <c r="P39" s="51">
        <f t="shared" si="12"/>
        <v>178.25027000000003</v>
      </c>
      <c r="Q39" s="44">
        <v>48116</v>
      </c>
      <c r="R39" s="44">
        <v>720</v>
      </c>
      <c r="S39" s="65">
        <v>66.83</v>
      </c>
      <c r="T39" s="51">
        <f t="shared" si="13"/>
        <v>70.425454000000002</v>
      </c>
      <c r="U39" s="46" t="s">
        <v>42</v>
      </c>
      <c r="V39" s="46">
        <v>84070</v>
      </c>
      <c r="W39" s="69" t="s">
        <v>218</v>
      </c>
      <c r="X39" s="70" t="s">
        <v>209</v>
      </c>
      <c r="Z39" s="47"/>
      <c r="AA39" s="267"/>
      <c r="AB39" s="48"/>
      <c r="AC39" s="48"/>
    </row>
    <row r="40" spans="1:29" s="46" customFormat="1" x14ac:dyDescent="0.25">
      <c r="A40" s="39" t="s">
        <v>245</v>
      </c>
      <c r="B40" s="40" t="s">
        <v>88</v>
      </c>
      <c r="C40" s="41" t="s">
        <v>89</v>
      </c>
      <c r="D40" s="42">
        <v>44927</v>
      </c>
      <c r="E40" s="42">
        <v>45291</v>
      </c>
      <c r="F40" s="42">
        <f t="shared" si="7"/>
        <v>45107</v>
      </c>
      <c r="G40" s="112">
        <f>_xlfn.XLOOKUP(F40,'A-6 CMS Market Basket Index '!$AZ$3:$AZ$8,'A-6 CMS Market Basket Index '!$BF$3:$BF$8)</f>
        <v>1.0538000000000001</v>
      </c>
      <c r="H40" s="43">
        <f t="shared" si="8"/>
        <v>682137</v>
      </c>
      <c r="I40" s="44">
        <f t="shared" si="9"/>
        <v>4254</v>
      </c>
      <c r="J40" s="65">
        <f t="shared" si="10"/>
        <v>160.35190409026799</v>
      </c>
      <c r="K40" s="76">
        <f t="shared" si="11"/>
        <v>168.97883653032443</v>
      </c>
      <c r="L40" s="51"/>
      <c r="M40" s="43">
        <v>682137</v>
      </c>
      <c r="N40" s="44">
        <v>4254</v>
      </c>
      <c r="O40" s="65">
        <v>160.35</v>
      </c>
      <c r="P40" s="51">
        <f t="shared" si="12"/>
        <v>168.97683000000001</v>
      </c>
      <c r="Q40" s="44"/>
      <c r="R40" s="44"/>
      <c r="S40" s="65"/>
      <c r="T40" s="51" t="str">
        <f t="shared" si="13"/>
        <v/>
      </c>
      <c r="U40" s="46" t="s">
        <v>48</v>
      </c>
      <c r="V40" s="46">
        <v>84121</v>
      </c>
      <c r="W40" s="69" t="s">
        <v>218</v>
      </c>
      <c r="X40" s="70" t="s">
        <v>209</v>
      </c>
      <c r="Z40" s="47"/>
      <c r="AA40" s="267"/>
      <c r="AB40" s="48"/>
      <c r="AC40" s="48"/>
    </row>
    <row r="41" spans="1:29" s="46" customFormat="1" x14ac:dyDescent="0.25">
      <c r="A41" s="39" t="s">
        <v>245</v>
      </c>
      <c r="B41" s="40" t="s">
        <v>171</v>
      </c>
      <c r="C41" s="41" t="s">
        <v>172</v>
      </c>
      <c r="D41" s="42">
        <v>44927</v>
      </c>
      <c r="E41" s="42">
        <v>45291</v>
      </c>
      <c r="F41" s="42">
        <f t="shared" si="7"/>
        <v>45107</v>
      </c>
      <c r="G41" s="112">
        <f>_xlfn.XLOOKUP(F41,'A-6 CMS Market Basket Index '!$AZ$3:$AZ$8,'A-6 CMS Market Basket Index '!$BF$3:$BF$8)</f>
        <v>1.0538000000000001</v>
      </c>
      <c r="H41" s="43">
        <f t="shared" si="8"/>
        <v>61916</v>
      </c>
      <c r="I41" s="44">
        <f t="shared" si="9"/>
        <v>386</v>
      </c>
      <c r="J41" s="65">
        <f t="shared" si="10"/>
        <v>160.40414507772022</v>
      </c>
      <c r="K41" s="76">
        <f t="shared" si="11"/>
        <v>169.03388808290157</v>
      </c>
      <c r="L41" s="51"/>
      <c r="M41" s="43">
        <v>61916</v>
      </c>
      <c r="N41" s="44">
        <v>386</v>
      </c>
      <c r="O41" s="65">
        <v>160.4</v>
      </c>
      <c r="P41" s="51">
        <f t="shared" si="12"/>
        <v>169.02952000000002</v>
      </c>
      <c r="Q41" s="44"/>
      <c r="R41" s="44"/>
      <c r="S41" s="65"/>
      <c r="T41" s="51" t="str">
        <f t="shared" si="13"/>
        <v/>
      </c>
      <c r="U41" s="46" t="s">
        <v>173</v>
      </c>
      <c r="V41" s="46">
        <v>84117</v>
      </c>
      <c r="W41" s="69" t="s">
        <v>218</v>
      </c>
      <c r="X41" s="70" t="s">
        <v>209</v>
      </c>
      <c r="Z41" s="47"/>
      <c r="AA41" s="267"/>
      <c r="AB41" s="48"/>
      <c r="AC41" s="48"/>
    </row>
    <row r="42" spans="1:29" s="46" customFormat="1" x14ac:dyDescent="0.25">
      <c r="A42" s="39" t="s">
        <v>245</v>
      </c>
      <c r="B42" s="40" t="s">
        <v>107</v>
      </c>
      <c r="C42" s="41" t="s">
        <v>108</v>
      </c>
      <c r="D42" s="42">
        <v>44927</v>
      </c>
      <c r="E42" s="42">
        <v>45291</v>
      </c>
      <c r="F42" s="42">
        <f t="shared" si="7"/>
        <v>45107</v>
      </c>
      <c r="G42" s="112">
        <f>_xlfn.XLOOKUP(F42,'A-6 CMS Market Basket Index '!$AZ$3:$AZ$8,'A-6 CMS Market Basket Index '!$BF$3:$BF$8)</f>
        <v>1.0538000000000001</v>
      </c>
      <c r="H42" s="43">
        <f t="shared" si="8"/>
        <v>832368</v>
      </c>
      <c r="I42" s="44">
        <f t="shared" si="9"/>
        <v>5087</v>
      </c>
      <c r="J42" s="65">
        <f t="shared" si="10"/>
        <v>163.62649891881267</v>
      </c>
      <c r="K42" s="76">
        <f t="shared" si="11"/>
        <v>172.4296045606448</v>
      </c>
      <c r="L42" s="51"/>
      <c r="M42" s="43">
        <v>822244</v>
      </c>
      <c r="N42" s="44">
        <v>4745</v>
      </c>
      <c r="O42" s="65">
        <v>173.29</v>
      </c>
      <c r="P42" s="51">
        <f t="shared" si="12"/>
        <v>182.61300199999999</v>
      </c>
      <c r="Q42" s="44">
        <v>10124</v>
      </c>
      <c r="R42" s="44">
        <v>342</v>
      </c>
      <c r="S42" s="65">
        <v>29.6</v>
      </c>
      <c r="T42" s="51">
        <f t="shared" si="13"/>
        <v>31.192480000000003</v>
      </c>
      <c r="U42" s="46" t="s">
        <v>62</v>
      </c>
      <c r="V42" s="46">
        <v>84790</v>
      </c>
      <c r="W42" s="69" t="s">
        <v>223</v>
      </c>
      <c r="X42" s="70" t="s">
        <v>209</v>
      </c>
      <c r="Z42" s="47"/>
      <c r="AA42" s="267"/>
      <c r="AB42" s="48"/>
      <c r="AC42" s="48"/>
    </row>
    <row r="43" spans="1:29" s="46" customFormat="1" x14ac:dyDescent="0.25">
      <c r="A43" s="39" t="s">
        <v>245</v>
      </c>
      <c r="B43" s="40" t="s">
        <v>196</v>
      </c>
      <c r="C43" s="41" t="s">
        <v>197</v>
      </c>
      <c r="D43" s="42">
        <v>44927</v>
      </c>
      <c r="E43" s="42">
        <v>45291</v>
      </c>
      <c r="F43" s="42">
        <f t="shared" si="7"/>
        <v>45107</v>
      </c>
      <c r="G43" s="112">
        <f>_xlfn.XLOOKUP(F43,'A-6 CMS Market Basket Index '!$AZ$3:$AZ$8,'A-6 CMS Market Basket Index '!$BF$3:$BF$8)</f>
        <v>1.0538000000000001</v>
      </c>
      <c r="H43" s="43">
        <f t="shared" si="8"/>
        <v>607500</v>
      </c>
      <c r="I43" s="44">
        <f t="shared" si="9"/>
        <v>3695</v>
      </c>
      <c r="J43" s="65">
        <f t="shared" si="10"/>
        <v>164.41136671177267</v>
      </c>
      <c r="K43" s="76">
        <f t="shared" si="11"/>
        <v>173.25669824086606</v>
      </c>
      <c r="L43" s="51"/>
      <c r="M43" s="43">
        <v>607500</v>
      </c>
      <c r="N43" s="44">
        <v>3695</v>
      </c>
      <c r="O43" s="65">
        <v>164.41</v>
      </c>
      <c r="P43" s="51">
        <f t="shared" si="12"/>
        <v>173.255258</v>
      </c>
      <c r="Q43" s="44"/>
      <c r="R43" s="44"/>
      <c r="S43" s="65"/>
      <c r="T43" s="51" t="str">
        <f t="shared" si="13"/>
        <v/>
      </c>
      <c r="U43" s="46" t="s">
        <v>48</v>
      </c>
      <c r="V43" s="46">
        <v>84107</v>
      </c>
      <c r="W43" s="69" t="s">
        <v>218</v>
      </c>
      <c r="X43" s="70" t="s">
        <v>209</v>
      </c>
      <c r="Z43" s="47"/>
      <c r="AA43" s="267"/>
      <c r="AB43" s="48"/>
      <c r="AC43" s="48"/>
    </row>
    <row r="44" spans="1:29" s="46" customFormat="1" x14ac:dyDescent="0.25">
      <c r="A44" s="39" t="s">
        <v>245</v>
      </c>
      <c r="B44" s="40" t="s">
        <v>93</v>
      </c>
      <c r="C44" s="41" t="s">
        <v>94</v>
      </c>
      <c r="D44" s="42">
        <v>44927</v>
      </c>
      <c r="E44" s="42">
        <v>45291</v>
      </c>
      <c r="F44" s="42">
        <f t="shared" si="7"/>
        <v>45107</v>
      </c>
      <c r="G44" s="112">
        <f>_xlfn.XLOOKUP(F44,'A-6 CMS Market Basket Index '!$AZ$3:$AZ$8,'A-6 CMS Market Basket Index '!$BF$3:$BF$8)</f>
        <v>1.0538000000000001</v>
      </c>
      <c r="H44" s="43">
        <f t="shared" si="8"/>
        <v>1811240</v>
      </c>
      <c r="I44" s="44">
        <f t="shared" si="9"/>
        <v>10771</v>
      </c>
      <c r="J44" s="65">
        <f t="shared" si="10"/>
        <v>168.15894531612665</v>
      </c>
      <c r="K44" s="76">
        <f t="shared" si="11"/>
        <v>177.20589657413427</v>
      </c>
      <c r="L44" s="51"/>
      <c r="M44" s="43">
        <v>1794494</v>
      </c>
      <c r="N44" s="44">
        <v>10610</v>
      </c>
      <c r="O44" s="65">
        <v>169.13</v>
      </c>
      <c r="P44" s="51">
        <f t="shared" si="12"/>
        <v>178.22919400000001</v>
      </c>
      <c r="Q44" s="44">
        <v>16746</v>
      </c>
      <c r="R44" s="44">
        <v>161</v>
      </c>
      <c r="S44" s="65">
        <v>104.01</v>
      </c>
      <c r="T44" s="51">
        <f t="shared" si="13"/>
        <v>109.60573800000002</v>
      </c>
      <c r="U44" s="46" t="s">
        <v>18</v>
      </c>
      <c r="V44" s="46">
        <v>84107</v>
      </c>
      <c r="W44" s="69" t="s">
        <v>218</v>
      </c>
      <c r="X44" s="70" t="s">
        <v>209</v>
      </c>
      <c r="Z44" s="47"/>
      <c r="AA44" s="267"/>
      <c r="AB44" s="48"/>
      <c r="AC44" s="48"/>
    </row>
    <row r="45" spans="1:29" s="46" customFormat="1" x14ac:dyDescent="0.25">
      <c r="A45" s="39" t="s">
        <v>245</v>
      </c>
      <c r="B45" s="40" t="s">
        <v>109</v>
      </c>
      <c r="C45" s="41" t="s">
        <v>110</v>
      </c>
      <c r="D45" s="42">
        <v>44927</v>
      </c>
      <c r="E45" s="42">
        <v>45291</v>
      </c>
      <c r="F45" s="42">
        <f t="shared" si="7"/>
        <v>45107</v>
      </c>
      <c r="G45" s="112">
        <f>_xlfn.XLOOKUP(F45,'A-6 CMS Market Basket Index '!$AZ$3:$AZ$8,'A-6 CMS Market Basket Index '!$BF$3:$BF$8)</f>
        <v>1.0538000000000001</v>
      </c>
      <c r="H45" s="43">
        <f t="shared" si="8"/>
        <v>59119</v>
      </c>
      <c r="I45" s="44">
        <f t="shared" si="9"/>
        <v>343</v>
      </c>
      <c r="J45" s="65">
        <f t="shared" si="10"/>
        <v>172.35860058309038</v>
      </c>
      <c r="K45" s="76">
        <f t="shared" si="11"/>
        <v>181.63149329446065</v>
      </c>
      <c r="L45" s="51"/>
      <c r="M45" s="43">
        <v>59119</v>
      </c>
      <c r="N45" s="44">
        <v>343</v>
      </c>
      <c r="O45" s="65">
        <v>172.36</v>
      </c>
      <c r="P45" s="51">
        <f t="shared" si="12"/>
        <v>181.63296800000003</v>
      </c>
      <c r="Q45" s="44"/>
      <c r="R45" s="44"/>
      <c r="S45" s="65"/>
      <c r="T45" s="51" t="str">
        <f t="shared" si="13"/>
        <v/>
      </c>
      <c r="U45" s="46" t="s">
        <v>44</v>
      </c>
      <c r="V45" s="46">
        <v>84501</v>
      </c>
      <c r="W45" s="69" t="s">
        <v>211</v>
      </c>
      <c r="X45" s="70" t="s">
        <v>209</v>
      </c>
      <c r="Z45" s="47"/>
      <c r="AA45" s="267"/>
      <c r="AB45" s="48"/>
      <c r="AC45" s="48"/>
    </row>
    <row r="46" spans="1:29" s="46" customFormat="1" x14ac:dyDescent="0.25">
      <c r="A46" s="39" t="s">
        <v>245</v>
      </c>
      <c r="B46" s="40" t="s">
        <v>74</v>
      </c>
      <c r="C46" s="41" t="s">
        <v>73</v>
      </c>
      <c r="D46" s="42">
        <v>44927</v>
      </c>
      <c r="E46" s="42">
        <v>45291</v>
      </c>
      <c r="F46" s="42">
        <f t="shared" si="7"/>
        <v>45107</v>
      </c>
      <c r="G46" s="112">
        <f>_xlfn.XLOOKUP(F46,'A-6 CMS Market Basket Index '!$AZ$3:$AZ$8,'A-6 CMS Market Basket Index '!$BF$3:$BF$8)</f>
        <v>1.0538000000000001</v>
      </c>
      <c r="H46" s="43">
        <f t="shared" si="8"/>
        <v>3503934</v>
      </c>
      <c r="I46" s="44">
        <f t="shared" si="9"/>
        <v>19911</v>
      </c>
      <c r="J46" s="65">
        <f t="shared" si="10"/>
        <v>175.97981015519059</v>
      </c>
      <c r="K46" s="76">
        <f t="shared" si="11"/>
        <v>185.44752394153986</v>
      </c>
      <c r="L46" s="51"/>
      <c r="M46" s="43">
        <v>3488731</v>
      </c>
      <c r="N46" s="44">
        <v>19858</v>
      </c>
      <c r="O46" s="65">
        <v>175.68</v>
      </c>
      <c r="P46" s="51">
        <f t="shared" si="12"/>
        <v>185.13158400000003</v>
      </c>
      <c r="Q46" s="44">
        <v>15203</v>
      </c>
      <c r="R46" s="44">
        <v>53</v>
      </c>
      <c r="S46" s="65">
        <v>286.85000000000002</v>
      </c>
      <c r="T46" s="51">
        <f t="shared" si="13"/>
        <v>302.28253000000007</v>
      </c>
      <c r="U46" s="46" t="s">
        <v>40</v>
      </c>
      <c r="V46" s="46">
        <v>84405</v>
      </c>
      <c r="W46" s="69" t="s">
        <v>224</v>
      </c>
      <c r="X46" s="70" t="s">
        <v>213</v>
      </c>
      <c r="Z46" s="47"/>
      <c r="AA46" s="267"/>
      <c r="AB46" s="48"/>
      <c r="AC46" s="48"/>
    </row>
    <row r="47" spans="1:29" s="46" customFormat="1" x14ac:dyDescent="0.25">
      <c r="A47" s="39" t="s">
        <v>245</v>
      </c>
      <c r="B47" s="40" t="s">
        <v>154</v>
      </c>
      <c r="C47" s="41" t="s">
        <v>155</v>
      </c>
      <c r="D47" s="42">
        <v>44927</v>
      </c>
      <c r="E47" s="42">
        <v>45291</v>
      </c>
      <c r="F47" s="42">
        <f t="shared" si="7"/>
        <v>45107</v>
      </c>
      <c r="G47" s="112">
        <f>_xlfn.XLOOKUP(F47,'A-6 CMS Market Basket Index '!$AZ$3:$AZ$8,'A-6 CMS Market Basket Index '!$BF$3:$BF$8)</f>
        <v>1.0538000000000001</v>
      </c>
      <c r="H47" s="43">
        <f t="shared" si="8"/>
        <v>745399</v>
      </c>
      <c r="I47" s="44">
        <f t="shared" si="9"/>
        <v>4144</v>
      </c>
      <c r="J47" s="65">
        <f t="shared" si="10"/>
        <v>179.87427606177607</v>
      </c>
      <c r="K47" s="76">
        <f t="shared" si="11"/>
        <v>189.55151211389963</v>
      </c>
      <c r="L47" s="51"/>
      <c r="M47" s="43">
        <v>731155</v>
      </c>
      <c r="N47" s="44">
        <v>4091</v>
      </c>
      <c r="O47" s="65">
        <v>178.72</v>
      </c>
      <c r="P47" s="51">
        <f t="shared" si="12"/>
        <v>188.33513600000001</v>
      </c>
      <c r="Q47" s="44">
        <v>14244</v>
      </c>
      <c r="R47" s="44">
        <v>53</v>
      </c>
      <c r="S47" s="65">
        <v>268.75</v>
      </c>
      <c r="T47" s="51">
        <f t="shared" si="13"/>
        <v>283.20875000000001</v>
      </c>
      <c r="U47" s="46" t="s">
        <v>47</v>
      </c>
      <c r="V47" s="46">
        <v>84341</v>
      </c>
      <c r="W47" s="69" t="s">
        <v>210</v>
      </c>
      <c r="X47" s="70" t="s">
        <v>209</v>
      </c>
      <c r="Z47" s="47"/>
      <c r="AA47" s="267"/>
      <c r="AB47" s="48"/>
      <c r="AC47" s="48"/>
    </row>
    <row r="48" spans="1:29" s="46" customFormat="1" x14ac:dyDescent="0.25">
      <c r="A48" s="39" t="s">
        <v>245</v>
      </c>
      <c r="B48" s="40" t="s">
        <v>116</v>
      </c>
      <c r="C48" s="41" t="s">
        <v>114</v>
      </c>
      <c r="D48" s="42">
        <v>44927</v>
      </c>
      <c r="E48" s="42">
        <v>45291</v>
      </c>
      <c r="F48" s="42">
        <f t="shared" si="7"/>
        <v>45107</v>
      </c>
      <c r="G48" s="112">
        <f>_xlfn.XLOOKUP(F48,'A-6 CMS Market Basket Index '!$AZ$3:$AZ$8,'A-6 CMS Market Basket Index '!$BF$3:$BF$8)</f>
        <v>1.0538000000000001</v>
      </c>
      <c r="H48" s="43">
        <f t="shared" si="8"/>
        <v>1269509</v>
      </c>
      <c r="I48" s="44">
        <f t="shared" si="9"/>
        <v>6971</v>
      </c>
      <c r="J48" s="65">
        <f t="shared" si="10"/>
        <v>182.11289628460767</v>
      </c>
      <c r="K48" s="76">
        <f t="shared" si="11"/>
        <v>191.91057010471957</v>
      </c>
      <c r="L48" s="51"/>
      <c r="M48" s="43">
        <v>1022617</v>
      </c>
      <c r="N48" s="44">
        <v>4754</v>
      </c>
      <c r="O48" s="65">
        <v>215.11</v>
      </c>
      <c r="P48" s="51">
        <f t="shared" si="12"/>
        <v>226.68291800000003</v>
      </c>
      <c r="Q48" s="44">
        <v>246892</v>
      </c>
      <c r="R48" s="44">
        <v>2217</v>
      </c>
      <c r="S48" s="65">
        <v>111.36</v>
      </c>
      <c r="T48" s="51">
        <f t="shared" si="13"/>
        <v>117.351168</v>
      </c>
      <c r="U48" s="46" t="s">
        <v>62</v>
      </c>
      <c r="V48" s="46">
        <v>84770</v>
      </c>
      <c r="W48" s="69" t="s">
        <v>223</v>
      </c>
      <c r="X48" s="70" t="s">
        <v>209</v>
      </c>
      <c r="Z48" s="47"/>
      <c r="AA48" s="267"/>
      <c r="AB48" s="48"/>
      <c r="AC48" s="48"/>
    </row>
    <row r="49" spans="1:29" s="46" customFormat="1" x14ac:dyDescent="0.25">
      <c r="A49" s="39" t="s">
        <v>245</v>
      </c>
      <c r="B49" s="40" t="s">
        <v>115</v>
      </c>
      <c r="C49" s="41" t="s">
        <v>113</v>
      </c>
      <c r="D49" s="42">
        <v>44927</v>
      </c>
      <c r="E49" s="42">
        <v>45291</v>
      </c>
      <c r="F49" s="42">
        <f t="shared" si="7"/>
        <v>45107</v>
      </c>
      <c r="G49" s="112">
        <f>_xlfn.XLOOKUP(F49,'A-6 CMS Market Basket Index '!$AZ$3:$AZ$8,'A-6 CMS Market Basket Index '!$BF$3:$BF$8)</f>
        <v>1.0538000000000001</v>
      </c>
      <c r="H49" s="43">
        <f t="shared" si="8"/>
        <v>3427198</v>
      </c>
      <c r="I49" s="44">
        <f t="shared" si="9"/>
        <v>18817</v>
      </c>
      <c r="J49" s="65">
        <f t="shared" si="10"/>
        <v>182.13307115905829</v>
      </c>
      <c r="K49" s="76">
        <f t="shared" si="11"/>
        <v>191.93183038741563</v>
      </c>
      <c r="L49" s="51"/>
      <c r="M49" s="43">
        <v>3010241</v>
      </c>
      <c r="N49" s="44">
        <v>15703</v>
      </c>
      <c r="O49" s="65">
        <v>191.7</v>
      </c>
      <c r="P49" s="51">
        <f t="shared" si="12"/>
        <v>202.01346000000001</v>
      </c>
      <c r="Q49" s="44">
        <v>416957</v>
      </c>
      <c r="R49" s="44">
        <v>3114</v>
      </c>
      <c r="S49" s="65">
        <v>133.9</v>
      </c>
      <c r="T49" s="51">
        <f t="shared" si="13"/>
        <v>141.10382000000001</v>
      </c>
      <c r="U49" s="46" t="s">
        <v>48</v>
      </c>
      <c r="V49" s="46">
        <v>84123</v>
      </c>
      <c r="W49" s="69" t="s">
        <v>218</v>
      </c>
      <c r="X49" s="70" t="s">
        <v>209</v>
      </c>
      <c r="Z49" s="47"/>
      <c r="AA49" s="267"/>
      <c r="AB49" s="48"/>
      <c r="AC49" s="48"/>
    </row>
    <row r="50" spans="1:29" s="46" customFormat="1" x14ac:dyDescent="0.25">
      <c r="A50" s="39" t="s">
        <v>245</v>
      </c>
      <c r="B50" s="40" t="s">
        <v>143</v>
      </c>
      <c r="C50" s="41" t="s">
        <v>144</v>
      </c>
      <c r="D50" s="42">
        <v>44927</v>
      </c>
      <c r="E50" s="42">
        <v>45291</v>
      </c>
      <c r="F50" s="42">
        <f t="shared" si="7"/>
        <v>45107</v>
      </c>
      <c r="G50" s="112">
        <f>_xlfn.XLOOKUP(F50,'A-6 CMS Market Basket Index '!$AZ$3:$AZ$8,'A-6 CMS Market Basket Index '!$BF$3:$BF$8)</f>
        <v>1.0538000000000001</v>
      </c>
      <c r="H50" s="43">
        <f t="shared" si="8"/>
        <v>2616371</v>
      </c>
      <c r="I50" s="44">
        <f t="shared" si="9"/>
        <v>13852</v>
      </c>
      <c r="J50" s="65">
        <f t="shared" si="10"/>
        <v>188.88037828472423</v>
      </c>
      <c r="K50" s="76">
        <f t="shared" si="11"/>
        <v>199.04214263644241</v>
      </c>
      <c r="L50" s="51"/>
      <c r="M50" s="43">
        <v>2614881</v>
      </c>
      <c r="N50" s="44">
        <v>13852</v>
      </c>
      <c r="O50" s="65">
        <v>188.77</v>
      </c>
      <c r="P50" s="51">
        <f t="shared" si="12"/>
        <v>198.92582600000003</v>
      </c>
      <c r="Q50" s="44">
        <v>1490</v>
      </c>
      <c r="R50" s="44"/>
      <c r="S50" s="65"/>
      <c r="T50" s="51" t="str">
        <f t="shared" si="13"/>
        <v/>
      </c>
      <c r="U50" s="46" t="s">
        <v>50</v>
      </c>
      <c r="V50" s="46">
        <v>84341</v>
      </c>
      <c r="W50" s="69" t="s">
        <v>210</v>
      </c>
      <c r="X50" s="70" t="s">
        <v>209</v>
      </c>
      <c r="Z50" s="47"/>
      <c r="AA50" s="267"/>
      <c r="AB50" s="48"/>
      <c r="AC50" s="48"/>
    </row>
    <row r="51" spans="1:29" s="46" customFormat="1" x14ac:dyDescent="0.25">
      <c r="A51" s="39" t="s">
        <v>245</v>
      </c>
      <c r="B51" s="40" t="s">
        <v>85</v>
      </c>
      <c r="C51" s="41" t="s">
        <v>84</v>
      </c>
      <c r="D51" s="42">
        <v>44927</v>
      </c>
      <c r="E51" s="42">
        <v>45291</v>
      </c>
      <c r="F51" s="42">
        <f t="shared" si="7"/>
        <v>45107</v>
      </c>
      <c r="G51" s="112">
        <f>_xlfn.XLOOKUP(F51,'A-6 CMS Market Basket Index '!$AZ$3:$AZ$8,'A-6 CMS Market Basket Index '!$BF$3:$BF$8)</f>
        <v>1.0538000000000001</v>
      </c>
      <c r="H51" s="43">
        <f t="shared" si="8"/>
        <v>164023</v>
      </c>
      <c r="I51" s="44">
        <f t="shared" si="9"/>
        <v>828</v>
      </c>
      <c r="J51" s="65">
        <f t="shared" si="10"/>
        <v>198.09541062801932</v>
      </c>
      <c r="K51" s="76">
        <f t="shared" si="11"/>
        <v>208.75294371980678</v>
      </c>
      <c r="L51" s="51"/>
      <c r="M51" s="43">
        <v>153507</v>
      </c>
      <c r="N51" s="44">
        <v>771</v>
      </c>
      <c r="O51" s="65">
        <v>199.1</v>
      </c>
      <c r="P51" s="51">
        <f t="shared" si="12"/>
        <v>209.81158000000002</v>
      </c>
      <c r="Q51" s="44">
        <v>10516</v>
      </c>
      <c r="R51" s="44">
        <v>57</v>
      </c>
      <c r="S51" s="65">
        <v>184.49</v>
      </c>
      <c r="T51" s="51">
        <f t="shared" si="13"/>
        <v>194.41556200000002</v>
      </c>
      <c r="U51" s="46" t="s">
        <v>45</v>
      </c>
      <c r="V51" s="46">
        <v>84020</v>
      </c>
      <c r="W51" s="69" t="s">
        <v>218</v>
      </c>
      <c r="X51" s="70" t="s">
        <v>209</v>
      </c>
      <c r="Z51" s="47"/>
      <c r="AA51" s="267"/>
      <c r="AB51" s="48"/>
      <c r="AC51" s="48"/>
    </row>
    <row r="52" spans="1:29" s="46" customFormat="1" x14ac:dyDescent="0.25">
      <c r="A52" s="39" t="s">
        <v>245</v>
      </c>
      <c r="B52" s="40" t="s">
        <v>123</v>
      </c>
      <c r="C52" s="41" t="s">
        <v>124</v>
      </c>
      <c r="D52" s="42">
        <v>44927</v>
      </c>
      <c r="E52" s="42">
        <v>45291</v>
      </c>
      <c r="F52" s="42">
        <f t="shared" si="7"/>
        <v>45107</v>
      </c>
      <c r="G52" s="112">
        <f>_xlfn.XLOOKUP(F52,'A-6 CMS Market Basket Index '!$AZ$3:$AZ$8,'A-6 CMS Market Basket Index '!$BF$3:$BF$8)</f>
        <v>1.0538000000000001</v>
      </c>
      <c r="H52" s="43">
        <f t="shared" si="8"/>
        <v>188679</v>
      </c>
      <c r="I52" s="44">
        <f t="shared" si="9"/>
        <v>913</v>
      </c>
      <c r="J52" s="65">
        <f t="shared" si="10"/>
        <v>206.65826944140198</v>
      </c>
      <c r="K52" s="76">
        <f t="shared" si="11"/>
        <v>217.77648433734942</v>
      </c>
      <c r="L52" s="51"/>
      <c r="M52" s="43">
        <v>93710</v>
      </c>
      <c r="N52" s="44">
        <v>837</v>
      </c>
      <c r="O52" s="65">
        <v>111.96</v>
      </c>
      <c r="P52" s="51">
        <f t="shared" si="12"/>
        <v>117.983448</v>
      </c>
      <c r="Q52" s="44">
        <v>94969</v>
      </c>
      <c r="R52" s="44">
        <v>76</v>
      </c>
      <c r="S52" s="65">
        <v>1249.5899999999999</v>
      </c>
      <c r="T52" s="51">
        <f t="shared" si="13"/>
        <v>1316.8179419999999</v>
      </c>
      <c r="U52" s="46" t="s">
        <v>23</v>
      </c>
      <c r="V52" s="46">
        <v>84088</v>
      </c>
      <c r="W52" s="69" t="s">
        <v>218</v>
      </c>
      <c r="X52" s="70" t="s">
        <v>209</v>
      </c>
      <c r="Z52" s="47"/>
      <c r="AA52" s="267"/>
      <c r="AB52" s="48"/>
      <c r="AC52" s="48"/>
    </row>
    <row r="53" spans="1:29" s="46" customFormat="1" x14ac:dyDescent="0.25">
      <c r="A53" s="39" t="s">
        <v>245</v>
      </c>
      <c r="B53" s="40" t="s">
        <v>192</v>
      </c>
      <c r="C53" s="41" t="s">
        <v>193</v>
      </c>
      <c r="D53" s="42">
        <v>44927</v>
      </c>
      <c r="E53" s="42">
        <v>45291</v>
      </c>
      <c r="F53" s="42">
        <f t="shared" si="7"/>
        <v>45107</v>
      </c>
      <c r="G53" s="112">
        <f>_xlfn.XLOOKUP(F53,'A-6 CMS Market Basket Index '!$AZ$3:$AZ$8,'A-6 CMS Market Basket Index '!$BF$3:$BF$8)</f>
        <v>1.0538000000000001</v>
      </c>
      <c r="H53" s="43">
        <f t="shared" si="8"/>
        <v>657677</v>
      </c>
      <c r="I53" s="44">
        <f t="shared" si="9"/>
        <v>3061</v>
      </c>
      <c r="J53" s="65">
        <f t="shared" si="10"/>
        <v>214.85690950669715</v>
      </c>
      <c r="K53" s="76">
        <f t="shared" si="11"/>
        <v>226.41621123815747</v>
      </c>
      <c r="L53" s="51"/>
      <c r="M53" s="43">
        <v>635552</v>
      </c>
      <c r="N53" s="44">
        <v>3019</v>
      </c>
      <c r="O53" s="65">
        <v>210.52</v>
      </c>
      <c r="P53" s="51">
        <f t="shared" si="12"/>
        <v>221.84597600000004</v>
      </c>
      <c r="Q53" s="44">
        <v>22125</v>
      </c>
      <c r="R53" s="44">
        <v>42</v>
      </c>
      <c r="S53" s="65">
        <v>526.79</v>
      </c>
      <c r="T53" s="51">
        <f t="shared" si="13"/>
        <v>555.13130200000001</v>
      </c>
      <c r="U53" s="46" t="s">
        <v>62</v>
      </c>
      <c r="V53" s="46">
        <v>84790</v>
      </c>
      <c r="W53" s="69" t="s">
        <v>223</v>
      </c>
      <c r="X53" s="70" t="s">
        <v>209</v>
      </c>
      <c r="Z53" s="47"/>
      <c r="AA53" s="267"/>
      <c r="AB53" s="48"/>
      <c r="AC53" s="48"/>
    </row>
    <row r="54" spans="1:29" s="46" customFormat="1" x14ac:dyDescent="0.25">
      <c r="A54" s="39" t="s">
        <v>245</v>
      </c>
      <c r="B54" s="40" t="s">
        <v>60</v>
      </c>
      <c r="C54" s="41" t="s">
        <v>61</v>
      </c>
      <c r="D54" s="42">
        <v>44927</v>
      </c>
      <c r="E54" s="42">
        <v>45291</v>
      </c>
      <c r="F54" s="42">
        <f t="shared" si="7"/>
        <v>45107</v>
      </c>
      <c r="G54" s="112">
        <f>_xlfn.XLOOKUP(F54,'A-6 CMS Market Basket Index '!$AZ$3:$AZ$8,'A-6 CMS Market Basket Index '!$BF$3:$BF$8)</f>
        <v>1.0538000000000001</v>
      </c>
      <c r="H54" s="43">
        <f t="shared" si="8"/>
        <v>349388</v>
      </c>
      <c r="I54" s="44">
        <f t="shared" si="9"/>
        <v>1517</v>
      </c>
      <c r="J54" s="65">
        <f t="shared" si="10"/>
        <v>230.31509558338826</v>
      </c>
      <c r="K54" s="76">
        <f t="shared" si="11"/>
        <v>242.70604772577457</v>
      </c>
      <c r="L54" s="51"/>
      <c r="M54" s="43">
        <v>349388</v>
      </c>
      <c r="N54" s="44">
        <v>1517</v>
      </c>
      <c r="O54" s="65">
        <v>230.32</v>
      </c>
      <c r="P54" s="51">
        <f t="shared" si="12"/>
        <v>242.71121600000001</v>
      </c>
      <c r="Q54" s="44"/>
      <c r="R54" s="44"/>
      <c r="S54" s="65"/>
      <c r="T54" s="51" t="str">
        <f t="shared" si="13"/>
        <v/>
      </c>
      <c r="U54" s="46" t="s">
        <v>62</v>
      </c>
      <c r="V54" s="46">
        <v>84790</v>
      </c>
      <c r="W54" s="69" t="s">
        <v>223</v>
      </c>
      <c r="X54" s="70" t="s">
        <v>209</v>
      </c>
      <c r="Z54" s="47"/>
      <c r="AA54" s="267"/>
      <c r="AB54" s="48"/>
      <c r="AC54" s="48"/>
    </row>
    <row r="55" spans="1:29" s="46" customFormat="1" x14ac:dyDescent="0.25">
      <c r="A55" s="39" t="s">
        <v>245</v>
      </c>
      <c r="B55" s="40" t="s">
        <v>98</v>
      </c>
      <c r="C55" s="41" t="s">
        <v>99</v>
      </c>
      <c r="D55" s="42">
        <v>45017</v>
      </c>
      <c r="E55" s="42">
        <v>45322</v>
      </c>
      <c r="F55" s="42">
        <f>((D55+E55)/2)</f>
        <v>45169.5</v>
      </c>
      <c r="G55" s="112">
        <f>_xlfn.XLOOKUP(F55,'A-6 CMS Market Basket Index '!$AZ$3:$AZ$8,'A-6 CMS Market Basket Index '!$BF$3:$BF$8)</f>
        <v>1.0426</v>
      </c>
      <c r="H55" s="43">
        <f t="shared" si="8"/>
        <v>57929</v>
      </c>
      <c r="I55" s="44">
        <f t="shared" si="9"/>
        <v>246</v>
      </c>
      <c r="J55" s="65">
        <f t="shared" si="10"/>
        <v>235.48373983739836</v>
      </c>
      <c r="K55" s="76">
        <f t="shared" si="11"/>
        <v>245.51534715447153</v>
      </c>
      <c r="L55" s="51"/>
      <c r="M55" s="43">
        <v>57929</v>
      </c>
      <c r="N55" s="44">
        <v>246</v>
      </c>
      <c r="O55" s="65">
        <v>235.48</v>
      </c>
      <c r="P55" s="51">
        <f t="shared" si="12"/>
        <v>245.51144799999997</v>
      </c>
      <c r="Q55" s="44"/>
      <c r="R55" s="44"/>
      <c r="S55" s="65"/>
      <c r="T55" s="51" t="str">
        <f t="shared" si="13"/>
        <v/>
      </c>
      <c r="U55" s="46" t="s">
        <v>52</v>
      </c>
      <c r="V55" s="46">
        <v>84790</v>
      </c>
      <c r="W55" s="69" t="s">
        <v>223</v>
      </c>
      <c r="X55" s="70" t="s">
        <v>209</v>
      </c>
      <c r="Z55" s="47"/>
      <c r="AA55" s="267"/>
      <c r="AB55" s="48"/>
      <c r="AC55" s="48"/>
    </row>
    <row r="56" spans="1:29" s="46" customFormat="1" x14ac:dyDescent="0.25">
      <c r="A56" s="39" t="s">
        <v>245</v>
      </c>
      <c r="B56" s="40" t="s">
        <v>156</v>
      </c>
      <c r="C56" s="41" t="s">
        <v>157</v>
      </c>
      <c r="D56" s="42">
        <v>44927</v>
      </c>
      <c r="E56" s="42">
        <v>45291</v>
      </c>
      <c r="F56" s="42">
        <f t="shared" ref="F56:F61" si="14">((D56+E56)/2)-2</f>
        <v>45107</v>
      </c>
      <c r="G56" s="112">
        <f>_xlfn.XLOOKUP(F56,'A-6 CMS Market Basket Index '!$AZ$3:$AZ$8,'A-6 CMS Market Basket Index '!$BF$3:$BF$8)</f>
        <v>1.0538000000000001</v>
      </c>
      <c r="H56" s="43">
        <f t="shared" si="8"/>
        <v>6157569</v>
      </c>
      <c r="I56" s="44">
        <f t="shared" si="9"/>
        <v>26161</v>
      </c>
      <c r="J56" s="65">
        <f t="shared" si="10"/>
        <v>235.37208057795957</v>
      </c>
      <c r="K56" s="76">
        <f t="shared" si="11"/>
        <v>248.03509851305381</v>
      </c>
      <c r="L56" s="51"/>
      <c r="M56" s="43">
        <v>6157569</v>
      </c>
      <c r="N56" s="44">
        <v>26161</v>
      </c>
      <c r="O56" s="65">
        <v>235.37</v>
      </c>
      <c r="P56" s="51">
        <f t="shared" si="12"/>
        <v>248.03290600000003</v>
      </c>
      <c r="Q56" s="44"/>
      <c r="R56" s="44"/>
      <c r="S56" s="65"/>
      <c r="T56" s="51" t="str">
        <f t="shared" si="13"/>
        <v/>
      </c>
      <c r="U56" s="46" t="s">
        <v>40</v>
      </c>
      <c r="V56" s="46">
        <v>84405</v>
      </c>
      <c r="W56" s="69" t="s">
        <v>224</v>
      </c>
      <c r="X56" s="70" t="s">
        <v>213</v>
      </c>
      <c r="Z56" s="47"/>
      <c r="AA56" s="267"/>
      <c r="AB56" s="48"/>
      <c r="AC56" s="48"/>
    </row>
    <row r="57" spans="1:29" s="46" customFormat="1" x14ac:dyDescent="0.25">
      <c r="A57" s="39" t="s">
        <v>245</v>
      </c>
      <c r="B57" s="40" t="s">
        <v>100</v>
      </c>
      <c r="C57" s="41" t="s">
        <v>57</v>
      </c>
      <c r="D57" s="42">
        <v>44927</v>
      </c>
      <c r="E57" s="42">
        <v>45291</v>
      </c>
      <c r="F57" s="42">
        <f t="shared" si="14"/>
        <v>45107</v>
      </c>
      <c r="G57" s="112">
        <f>_xlfn.XLOOKUP(F57,'A-6 CMS Market Basket Index '!$AZ$3:$AZ$8,'A-6 CMS Market Basket Index '!$BF$3:$BF$8)</f>
        <v>1.0538000000000001</v>
      </c>
      <c r="H57" s="43">
        <f t="shared" si="8"/>
        <v>283596</v>
      </c>
      <c r="I57" s="44">
        <f t="shared" si="9"/>
        <v>1194</v>
      </c>
      <c r="J57" s="65">
        <f t="shared" si="10"/>
        <v>237.5175879396985</v>
      </c>
      <c r="K57" s="76">
        <f t="shared" si="11"/>
        <v>250.29603417085428</v>
      </c>
      <c r="L57" s="51"/>
      <c r="M57" s="43">
        <v>119265</v>
      </c>
      <c r="N57" s="44">
        <v>790</v>
      </c>
      <c r="O57" s="65">
        <v>150.97</v>
      </c>
      <c r="P57" s="51">
        <f t="shared" si="12"/>
        <v>159.092186</v>
      </c>
      <c r="Q57" s="44">
        <v>164331</v>
      </c>
      <c r="R57" s="44">
        <v>404</v>
      </c>
      <c r="S57" s="65">
        <v>406.76</v>
      </c>
      <c r="T57" s="51">
        <f t="shared" si="13"/>
        <v>428.643688</v>
      </c>
      <c r="U57" s="46" t="s">
        <v>101</v>
      </c>
      <c r="V57" s="46">
        <v>84095</v>
      </c>
      <c r="W57" s="69" t="s">
        <v>218</v>
      </c>
      <c r="X57" s="70" t="s">
        <v>209</v>
      </c>
      <c r="Z57" s="47"/>
      <c r="AA57" s="267"/>
      <c r="AB57" s="48"/>
      <c r="AC57" s="48"/>
    </row>
    <row r="58" spans="1:29" s="46" customFormat="1" x14ac:dyDescent="0.25">
      <c r="A58" s="39" t="s">
        <v>245</v>
      </c>
      <c r="B58" s="40" t="s">
        <v>160</v>
      </c>
      <c r="C58" s="41" t="s">
        <v>161</v>
      </c>
      <c r="D58" s="42">
        <v>44927</v>
      </c>
      <c r="E58" s="42">
        <v>45291</v>
      </c>
      <c r="F58" s="42">
        <f t="shared" si="14"/>
        <v>45107</v>
      </c>
      <c r="G58" s="112">
        <f>_xlfn.XLOOKUP(F58,'A-6 CMS Market Basket Index '!$AZ$3:$AZ$8,'A-6 CMS Market Basket Index '!$BF$3:$BF$8)</f>
        <v>1.0538000000000001</v>
      </c>
      <c r="H58" s="43">
        <f t="shared" si="8"/>
        <v>5663414</v>
      </c>
      <c r="I58" s="44">
        <f t="shared" si="9"/>
        <v>23525</v>
      </c>
      <c r="J58" s="65">
        <f t="shared" si="10"/>
        <v>240.74023379383635</v>
      </c>
      <c r="K58" s="76">
        <f t="shared" si="11"/>
        <v>253.69205837194477</v>
      </c>
      <c r="L58" s="51"/>
      <c r="M58" s="43">
        <v>5663414</v>
      </c>
      <c r="N58" s="44">
        <v>23525</v>
      </c>
      <c r="O58" s="65">
        <v>240.74</v>
      </c>
      <c r="P58" s="51">
        <f t="shared" si="12"/>
        <v>253.69181200000003</v>
      </c>
      <c r="Q58" s="44"/>
      <c r="R58" s="44"/>
      <c r="S58" s="65"/>
      <c r="T58" s="51" t="str">
        <f t="shared" si="13"/>
        <v/>
      </c>
      <c r="U58" s="46" t="s">
        <v>62</v>
      </c>
      <c r="V58" s="46">
        <v>84770</v>
      </c>
      <c r="W58" s="69" t="s">
        <v>223</v>
      </c>
      <c r="X58" s="70" t="s">
        <v>209</v>
      </c>
      <c r="Z58" s="47"/>
      <c r="AA58" s="267"/>
      <c r="AB58" s="48"/>
      <c r="AC58" s="48"/>
    </row>
    <row r="59" spans="1:29" s="46" customFormat="1" x14ac:dyDescent="0.25">
      <c r="A59" s="39" t="s">
        <v>245</v>
      </c>
      <c r="B59" s="40" t="s">
        <v>158</v>
      </c>
      <c r="C59" s="41" t="s">
        <v>159</v>
      </c>
      <c r="D59" s="42">
        <v>44927</v>
      </c>
      <c r="E59" s="42">
        <v>45291</v>
      </c>
      <c r="F59" s="42">
        <f t="shared" si="14"/>
        <v>45107</v>
      </c>
      <c r="G59" s="112">
        <f>_xlfn.XLOOKUP(F59,'A-6 CMS Market Basket Index '!$AZ$3:$AZ$8,'A-6 CMS Market Basket Index '!$BF$3:$BF$8)</f>
        <v>1.0538000000000001</v>
      </c>
      <c r="H59" s="43">
        <f t="shared" si="8"/>
        <v>21594713</v>
      </c>
      <c r="I59" s="44">
        <f t="shared" si="9"/>
        <v>89560</v>
      </c>
      <c r="J59" s="65">
        <f t="shared" si="10"/>
        <v>241.12006476105404</v>
      </c>
      <c r="K59" s="76">
        <f t="shared" si="11"/>
        <v>254.09232424519877</v>
      </c>
      <c r="L59" s="51"/>
      <c r="M59" s="43">
        <v>21594713</v>
      </c>
      <c r="N59" s="44">
        <v>89560</v>
      </c>
      <c r="O59" s="65">
        <v>241.12</v>
      </c>
      <c r="P59" s="51">
        <f t="shared" si="12"/>
        <v>254.09225600000002</v>
      </c>
      <c r="Q59" s="44"/>
      <c r="R59" s="44"/>
      <c r="S59" s="65"/>
      <c r="T59" s="51" t="str">
        <f t="shared" si="13"/>
        <v/>
      </c>
      <c r="U59" s="46" t="s">
        <v>101</v>
      </c>
      <c r="V59" s="46">
        <v>84095</v>
      </c>
      <c r="W59" s="69" t="s">
        <v>218</v>
      </c>
      <c r="X59" s="70" t="s">
        <v>209</v>
      </c>
      <c r="Z59" s="47"/>
      <c r="AA59" s="267"/>
      <c r="AB59" s="48"/>
      <c r="AC59" s="48"/>
    </row>
    <row r="60" spans="1:29" s="46" customFormat="1" x14ac:dyDescent="0.25">
      <c r="A60" s="39" t="s">
        <v>245</v>
      </c>
      <c r="B60" s="40" t="s">
        <v>165</v>
      </c>
      <c r="C60" s="41" t="s">
        <v>166</v>
      </c>
      <c r="D60" s="42">
        <v>44927</v>
      </c>
      <c r="E60" s="42">
        <v>45291</v>
      </c>
      <c r="F60" s="42">
        <f t="shared" si="14"/>
        <v>45107</v>
      </c>
      <c r="G60" s="112">
        <f>_xlfn.XLOOKUP(F60,'A-6 CMS Market Basket Index '!$AZ$3:$AZ$8,'A-6 CMS Market Basket Index '!$BF$3:$BF$8)</f>
        <v>1.0538000000000001</v>
      </c>
      <c r="H60" s="43">
        <f t="shared" si="8"/>
        <v>20350</v>
      </c>
      <c r="I60" s="44">
        <f t="shared" si="9"/>
        <v>84</v>
      </c>
      <c r="J60" s="65">
        <f t="shared" si="10"/>
        <v>242.26190476190476</v>
      </c>
      <c r="K60" s="76">
        <f t="shared" si="11"/>
        <v>255.29559523809525</v>
      </c>
      <c r="L60" s="51"/>
      <c r="M60" s="43">
        <v>19537</v>
      </c>
      <c r="N60" s="44">
        <v>80</v>
      </c>
      <c r="O60" s="65">
        <v>244.21</v>
      </c>
      <c r="P60" s="51">
        <f t="shared" si="12"/>
        <v>257.34849800000001</v>
      </c>
      <c r="Q60" s="44">
        <v>813</v>
      </c>
      <c r="R60" s="44">
        <v>4</v>
      </c>
      <c r="S60" s="65">
        <v>203.25</v>
      </c>
      <c r="T60" s="51">
        <f t="shared" si="13"/>
        <v>214.18485000000001</v>
      </c>
      <c r="U60" s="46" t="s">
        <v>42</v>
      </c>
      <c r="V60" s="46">
        <v>84093</v>
      </c>
      <c r="W60" s="69" t="s">
        <v>218</v>
      </c>
      <c r="X60" s="70" t="s">
        <v>209</v>
      </c>
      <c r="Z60" s="47"/>
      <c r="AA60" s="267"/>
      <c r="AB60" s="48"/>
      <c r="AC60" s="48"/>
    </row>
    <row r="61" spans="1:29" s="46" customFormat="1" x14ac:dyDescent="0.25">
      <c r="A61" s="39" t="s">
        <v>245</v>
      </c>
      <c r="B61" s="40" t="s">
        <v>78</v>
      </c>
      <c r="C61" s="41" t="s">
        <v>79</v>
      </c>
      <c r="D61" s="42">
        <v>44927</v>
      </c>
      <c r="E61" s="42">
        <v>45291</v>
      </c>
      <c r="F61" s="42">
        <f t="shared" si="14"/>
        <v>45107</v>
      </c>
      <c r="G61" s="112">
        <f>_xlfn.XLOOKUP(F61,'A-6 CMS Market Basket Index '!$AZ$3:$AZ$8,'A-6 CMS Market Basket Index '!$BF$3:$BF$8)</f>
        <v>1.0538000000000001</v>
      </c>
      <c r="H61" s="43">
        <f t="shared" si="8"/>
        <v>543960</v>
      </c>
      <c r="I61" s="44">
        <f t="shared" si="9"/>
        <v>2211</v>
      </c>
      <c r="J61" s="65">
        <f t="shared" si="10"/>
        <v>246.02442333785618</v>
      </c>
      <c r="K61" s="76">
        <f t="shared" si="11"/>
        <v>259.26053731343285</v>
      </c>
      <c r="L61" s="51"/>
      <c r="M61" s="43">
        <v>524651</v>
      </c>
      <c r="N61" s="44">
        <v>2105</v>
      </c>
      <c r="O61" s="65">
        <v>249.24</v>
      </c>
      <c r="P61" s="51">
        <f t="shared" si="12"/>
        <v>262.649112</v>
      </c>
      <c r="Q61" s="44">
        <v>19309</v>
      </c>
      <c r="R61" s="44">
        <v>106</v>
      </c>
      <c r="S61" s="65">
        <v>182.16</v>
      </c>
      <c r="T61" s="51">
        <f t="shared" si="13"/>
        <v>191.96020800000002</v>
      </c>
      <c r="U61" s="46" t="s">
        <v>80</v>
      </c>
      <c r="V61" s="46">
        <v>84654</v>
      </c>
      <c r="W61" s="69" t="s">
        <v>221</v>
      </c>
      <c r="X61" s="70" t="s">
        <v>209</v>
      </c>
      <c r="Z61" s="47"/>
      <c r="AA61" s="267"/>
      <c r="AB61" s="48"/>
      <c r="AC61" s="48"/>
    </row>
    <row r="62" spans="1:29" s="46" customFormat="1" x14ac:dyDescent="0.25">
      <c r="A62" s="50" t="s">
        <v>246</v>
      </c>
      <c r="B62" s="86" t="s">
        <v>27</v>
      </c>
      <c r="C62" s="87">
        <v>467038</v>
      </c>
      <c r="D62" s="88">
        <v>45108</v>
      </c>
      <c r="E62" s="88">
        <v>45473</v>
      </c>
      <c r="F62" s="42">
        <f>((D62+E62)/2)+1</f>
        <v>45291.5</v>
      </c>
      <c r="G62" s="112">
        <f>_xlfn.XLOOKUP(F62,'A-6 CMS Market Basket Index '!$AZ$3:$AZ$8,'A-6 CMS Market Basket Index '!$BF$3:$BF$8)</f>
        <v>1.0366</v>
      </c>
      <c r="H62" s="43">
        <f t="shared" si="8"/>
        <v>421018</v>
      </c>
      <c r="I62" s="44">
        <f t="shared" si="9"/>
        <v>1676</v>
      </c>
      <c r="J62" s="65">
        <f t="shared" si="10"/>
        <v>251.20405727923628</v>
      </c>
      <c r="K62" s="76">
        <f t="shared" si="11"/>
        <v>260.3981257756563</v>
      </c>
      <c r="L62" s="51"/>
      <c r="M62" s="89">
        <v>421018</v>
      </c>
      <c r="N62" s="49">
        <v>1676</v>
      </c>
      <c r="O62" s="80">
        <v>251.2</v>
      </c>
      <c r="P62" s="51">
        <f t="shared" si="12"/>
        <v>260.39391999999998</v>
      </c>
      <c r="Q62" s="49"/>
      <c r="R62" s="49"/>
      <c r="S62" s="80"/>
      <c r="T62" s="51" t="str">
        <f t="shared" si="13"/>
        <v/>
      </c>
      <c r="U62" s="90" t="s">
        <v>26</v>
      </c>
      <c r="V62" s="90">
        <v>84713</v>
      </c>
      <c r="W62" s="91" t="s">
        <v>208</v>
      </c>
      <c r="X62" s="92" t="s">
        <v>209</v>
      </c>
      <c r="Y62" s="52" t="s">
        <v>24</v>
      </c>
      <c r="Z62" s="53" t="s">
        <v>25</v>
      </c>
      <c r="AA62" s="267"/>
      <c r="AB62" s="48"/>
      <c r="AC62" s="48"/>
    </row>
    <row r="63" spans="1:29" s="46" customFormat="1" x14ac:dyDescent="0.25">
      <c r="A63" s="39" t="s">
        <v>245</v>
      </c>
      <c r="B63" s="40" t="s">
        <v>117</v>
      </c>
      <c r="C63" s="41" t="s">
        <v>118</v>
      </c>
      <c r="D63" s="42">
        <v>44927</v>
      </c>
      <c r="E63" s="42">
        <v>45291</v>
      </c>
      <c r="F63" s="42">
        <f>((D63+E63)/2)-2</f>
        <v>45107</v>
      </c>
      <c r="G63" s="112">
        <f>_xlfn.XLOOKUP(F63,'A-6 CMS Market Basket Index '!$AZ$3:$AZ$8,'A-6 CMS Market Basket Index '!$BF$3:$BF$8)</f>
        <v>1.0538000000000001</v>
      </c>
      <c r="H63" s="43">
        <f t="shared" si="8"/>
        <v>787210</v>
      </c>
      <c r="I63" s="44">
        <f t="shared" si="9"/>
        <v>3141</v>
      </c>
      <c r="J63" s="65">
        <f t="shared" si="10"/>
        <v>250.62400509391912</v>
      </c>
      <c r="K63" s="76">
        <f t="shared" si="11"/>
        <v>264.10757656797199</v>
      </c>
      <c r="L63" s="51"/>
      <c r="M63" s="43">
        <v>767618</v>
      </c>
      <c r="N63" s="44">
        <v>3064</v>
      </c>
      <c r="O63" s="65">
        <v>250.53</v>
      </c>
      <c r="P63" s="51">
        <f t="shared" si="12"/>
        <v>264.00851399999999</v>
      </c>
      <c r="Q63" s="44">
        <v>19592</v>
      </c>
      <c r="R63" s="44">
        <v>77</v>
      </c>
      <c r="S63" s="65">
        <v>254.44</v>
      </c>
      <c r="T63" s="51">
        <f t="shared" si="13"/>
        <v>268.128872</v>
      </c>
      <c r="U63" s="46" t="s">
        <v>17</v>
      </c>
      <c r="V63" s="46">
        <v>84057</v>
      </c>
      <c r="W63" s="69" t="s">
        <v>15</v>
      </c>
      <c r="X63" s="70" t="s">
        <v>213</v>
      </c>
      <c r="Z63" s="47"/>
      <c r="AA63" s="267"/>
      <c r="AB63" s="48"/>
      <c r="AC63" s="48"/>
    </row>
    <row r="64" spans="1:29" s="46" customFormat="1" x14ac:dyDescent="0.25">
      <c r="A64" s="39" t="s">
        <v>245</v>
      </c>
      <c r="B64" s="40" t="s">
        <v>201</v>
      </c>
      <c r="C64" s="41" t="s">
        <v>202</v>
      </c>
      <c r="D64" s="42">
        <v>44927</v>
      </c>
      <c r="E64" s="42">
        <v>45291</v>
      </c>
      <c r="F64" s="42">
        <f>((D64+E64)/2)-2</f>
        <v>45107</v>
      </c>
      <c r="G64" s="112">
        <f>_xlfn.XLOOKUP(F64,'A-6 CMS Market Basket Index '!$AZ$3:$AZ$8,'A-6 CMS Market Basket Index '!$BF$3:$BF$8)</f>
        <v>1.0538000000000001</v>
      </c>
      <c r="H64" s="43">
        <f t="shared" si="8"/>
        <v>816547</v>
      </c>
      <c r="I64" s="44">
        <f t="shared" si="9"/>
        <v>3054</v>
      </c>
      <c r="J64" s="65">
        <f t="shared" si="10"/>
        <v>267.36967910936477</v>
      </c>
      <c r="K64" s="76">
        <f t="shared" si="11"/>
        <v>281.75416784544859</v>
      </c>
      <c r="L64" s="51"/>
      <c r="M64" s="43">
        <v>812813</v>
      </c>
      <c r="N64" s="44">
        <v>3041</v>
      </c>
      <c r="O64" s="65">
        <v>267.27999999999997</v>
      </c>
      <c r="P64" s="51">
        <f t="shared" si="12"/>
        <v>281.65966399999996</v>
      </c>
      <c r="Q64" s="44">
        <v>3734</v>
      </c>
      <c r="R64" s="44">
        <v>13</v>
      </c>
      <c r="S64" s="65">
        <v>287.23</v>
      </c>
      <c r="T64" s="51">
        <f t="shared" si="13"/>
        <v>302.68297400000006</v>
      </c>
      <c r="U64" s="46" t="s">
        <v>104</v>
      </c>
      <c r="V64" s="46">
        <v>84119</v>
      </c>
      <c r="W64" s="69" t="s">
        <v>218</v>
      </c>
      <c r="X64" s="70" t="s">
        <v>209</v>
      </c>
      <c r="Z64" s="47"/>
      <c r="AA64" s="267"/>
      <c r="AB64" s="48"/>
      <c r="AC64" s="48"/>
    </row>
    <row r="65" spans="1:29" s="46" customFormat="1" x14ac:dyDescent="0.25">
      <c r="A65" s="39" t="s">
        <v>245</v>
      </c>
      <c r="B65" s="40" t="s">
        <v>145</v>
      </c>
      <c r="C65" s="41" t="s">
        <v>146</v>
      </c>
      <c r="D65" s="42">
        <v>44927</v>
      </c>
      <c r="E65" s="42">
        <v>45291</v>
      </c>
      <c r="F65" s="42">
        <f>((D65+E65)/2)-2</f>
        <v>45107</v>
      </c>
      <c r="G65" s="112">
        <f>_xlfn.XLOOKUP(F65,'A-6 CMS Market Basket Index '!$AZ$3:$AZ$8,'A-6 CMS Market Basket Index '!$BF$3:$BF$8)</f>
        <v>1.0538000000000001</v>
      </c>
      <c r="H65" s="43">
        <f t="shared" si="8"/>
        <v>1629926</v>
      </c>
      <c r="I65" s="44">
        <f t="shared" si="9"/>
        <v>5848</v>
      </c>
      <c r="J65" s="65">
        <f t="shared" si="10"/>
        <v>278.71511627906978</v>
      </c>
      <c r="K65" s="76">
        <f t="shared" si="11"/>
        <v>293.70998953488373</v>
      </c>
      <c r="L65" s="51"/>
      <c r="M65" s="43">
        <v>1629926</v>
      </c>
      <c r="N65" s="44">
        <v>5848</v>
      </c>
      <c r="O65" s="65">
        <v>278.72000000000003</v>
      </c>
      <c r="P65" s="51">
        <f t="shared" si="12"/>
        <v>293.71513600000003</v>
      </c>
      <c r="Q65" s="44"/>
      <c r="R65" s="44"/>
      <c r="S65" s="65"/>
      <c r="T65" s="51" t="str">
        <f t="shared" si="13"/>
        <v/>
      </c>
      <c r="U65" s="46" t="s">
        <v>41</v>
      </c>
      <c r="V65" s="46">
        <v>84647</v>
      </c>
      <c r="W65" s="69" t="s">
        <v>220</v>
      </c>
      <c r="X65" s="70" t="s">
        <v>209</v>
      </c>
      <c r="Z65" s="47"/>
      <c r="AA65" s="267"/>
      <c r="AB65" s="48"/>
      <c r="AC65" s="48"/>
    </row>
    <row r="66" spans="1:29" s="46" customFormat="1" x14ac:dyDescent="0.25">
      <c r="A66" s="39" t="s">
        <v>245</v>
      </c>
      <c r="B66" s="40" t="s">
        <v>180</v>
      </c>
      <c r="C66" s="41" t="s">
        <v>181</v>
      </c>
      <c r="D66" s="42">
        <v>44927</v>
      </c>
      <c r="E66" s="42">
        <v>45291</v>
      </c>
      <c r="F66" s="42">
        <f>((D66+E66)/2)-2</f>
        <v>45107</v>
      </c>
      <c r="G66" s="112">
        <f>_xlfn.XLOOKUP(F66,'A-6 CMS Market Basket Index '!$AZ$3:$AZ$8,'A-6 CMS Market Basket Index '!$BF$3:$BF$8)</f>
        <v>1.0538000000000001</v>
      </c>
      <c r="H66" s="43">
        <f t="shared" si="8"/>
        <v>4849058</v>
      </c>
      <c r="I66" s="44">
        <f t="shared" si="9"/>
        <v>17234</v>
      </c>
      <c r="J66" s="65">
        <f t="shared" si="10"/>
        <v>281.36578855750258</v>
      </c>
      <c r="K66" s="76">
        <f t="shared" si="11"/>
        <v>296.50326798189622</v>
      </c>
      <c r="L66" s="51"/>
      <c r="M66" s="43">
        <v>4750729</v>
      </c>
      <c r="N66" s="44">
        <v>16765</v>
      </c>
      <c r="O66" s="65">
        <v>283.37</v>
      </c>
      <c r="P66" s="51">
        <f t="shared" si="12"/>
        <v>298.61530600000003</v>
      </c>
      <c r="Q66" s="44">
        <v>98329</v>
      </c>
      <c r="R66" s="44">
        <v>469</v>
      </c>
      <c r="S66" s="65">
        <v>209.66</v>
      </c>
      <c r="T66" s="51">
        <f t="shared" si="13"/>
        <v>220.93970800000002</v>
      </c>
      <c r="U66" s="46" t="s">
        <v>62</v>
      </c>
      <c r="V66" s="46">
        <v>84770</v>
      </c>
      <c r="W66" s="69" t="s">
        <v>223</v>
      </c>
      <c r="X66" s="70" t="s">
        <v>209</v>
      </c>
      <c r="Z66" s="47"/>
      <c r="AA66" s="267"/>
      <c r="AB66" s="48"/>
      <c r="AC66" s="48"/>
    </row>
    <row r="67" spans="1:29" s="46" customFormat="1" x14ac:dyDescent="0.25">
      <c r="A67" s="39" t="s">
        <v>245</v>
      </c>
      <c r="B67" s="40" t="s">
        <v>86</v>
      </c>
      <c r="C67" s="41" t="s">
        <v>87</v>
      </c>
      <c r="D67" s="42">
        <v>44927</v>
      </c>
      <c r="E67" s="42">
        <v>45291</v>
      </c>
      <c r="F67" s="42">
        <f>((D67+E67)/2)-2</f>
        <v>45107</v>
      </c>
      <c r="G67" s="112">
        <f>_xlfn.XLOOKUP(F67,'A-6 CMS Market Basket Index '!$AZ$3:$AZ$8,'A-6 CMS Market Basket Index '!$BF$3:$BF$8)</f>
        <v>1.0538000000000001</v>
      </c>
      <c r="H67" s="43">
        <f t="shared" si="8"/>
        <v>334819</v>
      </c>
      <c r="I67" s="44">
        <f t="shared" si="9"/>
        <v>1174</v>
      </c>
      <c r="J67" s="65">
        <f t="shared" si="10"/>
        <v>285.19505962521293</v>
      </c>
      <c r="K67" s="76">
        <f t="shared" si="11"/>
        <v>300.53855383304943</v>
      </c>
      <c r="L67" s="51"/>
      <c r="M67" s="43">
        <v>334762</v>
      </c>
      <c r="N67" s="44">
        <v>1173</v>
      </c>
      <c r="O67" s="65">
        <v>285.39</v>
      </c>
      <c r="P67" s="51">
        <f t="shared" si="12"/>
        <v>300.74398200000002</v>
      </c>
      <c r="Q67" s="44">
        <v>57</v>
      </c>
      <c r="R67" s="44">
        <v>1</v>
      </c>
      <c r="S67" s="65">
        <v>57</v>
      </c>
      <c r="T67" s="51">
        <f t="shared" si="13"/>
        <v>60.066600000000001</v>
      </c>
      <c r="U67" s="46" t="s">
        <v>50</v>
      </c>
      <c r="V67" s="46">
        <v>84341</v>
      </c>
      <c r="W67" s="69" t="s">
        <v>210</v>
      </c>
      <c r="X67" s="70" t="s">
        <v>209</v>
      </c>
      <c r="Z67" s="47"/>
      <c r="AA67" s="267"/>
      <c r="AB67" s="48"/>
      <c r="AC67" s="48"/>
    </row>
    <row r="68" spans="1:29" s="46" customFormat="1" x14ac:dyDescent="0.25">
      <c r="A68" s="50" t="s">
        <v>246</v>
      </c>
      <c r="B68" s="86" t="s">
        <v>31</v>
      </c>
      <c r="C68" s="87">
        <v>467034</v>
      </c>
      <c r="D68" s="88">
        <v>45108</v>
      </c>
      <c r="E68" s="88">
        <v>45473</v>
      </c>
      <c r="F68" s="42">
        <f>((D68+E68)/2)+1</f>
        <v>45291.5</v>
      </c>
      <c r="G68" s="112">
        <f>_xlfn.XLOOKUP(F68,'A-6 CMS Market Basket Index '!$AZ$3:$AZ$8,'A-6 CMS Market Basket Index '!$BF$3:$BF$8)</f>
        <v>1.0366</v>
      </c>
      <c r="H68" s="43">
        <f t="shared" si="8"/>
        <v>557419</v>
      </c>
      <c r="I68" s="44">
        <f t="shared" si="9"/>
        <v>1829</v>
      </c>
      <c r="J68" s="65">
        <f t="shared" si="10"/>
        <v>304.76708583925642</v>
      </c>
      <c r="K68" s="76">
        <f t="shared" si="11"/>
        <v>315.92156118097319</v>
      </c>
      <c r="L68" s="51"/>
      <c r="M68" s="89">
        <v>557419</v>
      </c>
      <c r="N68" s="49">
        <v>1829</v>
      </c>
      <c r="O68" s="80">
        <v>304.77</v>
      </c>
      <c r="P68" s="51">
        <f t="shared" si="12"/>
        <v>315.92458199999999</v>
      </c>
      <c r="Q68" s="49"/>
      <c r="R68" s="49"/>
      <c r="S68" s="80"/>
      <c r="T68" s="51" t="str">
        <f t="shared" si="13"/>
        <v/>
      </c>
      <c r="U68" s="90" t="s">
        <v>30</v>
      </c>
      <c r="V68" s="90">
        <v>84648</v>
      </c>
      <c r="W68" s="91" t="s">
        <v>217</v>
      </c>
      <c r="X68" s="92" t="s">
        <v>209</v>
      </c>
      <c r="Y68" s="52" t="s">
        <v>28</v>
      </c>
      <c r="Z68" s="53" t="s">
        <v>29</v>
      </c>
      <c r="AA68" s="267"/>
      <c r="AB68" s="48"/>
      <c r="AC68" s="48"/>
    </row>
    <row r="69" spans="1:29" s="46" customFormat="1" x14ac:dyDescent="0.25">
      <c r="A69" s="50" t="s">
        <v>246</v>
      </c>
      <c r="B69" s="86" t="s">
        <v>38</v>
      </c>
      <c r="C69" s="87">
        <v>467081</v>
      </c>
      <c r="D69" s="88">
        <v>45292</v>
      </c>
      <c r="E69" s="88">
        <v>45412</v>
      </c>
      <c r="F69" s="42">
        <f>((D69+E69)/2)-2</f>
        <v>45350</v>
      </c>
      <c r="G69" s="112">
        <f>_xlfn.XLOOKUP(F69,'A-6 CMS Market Basket Index '!$AZ$3:$AZ$8,'A-6 CMS Market Basket Index '!$BF$3:$BF$8)</f>
        <v>1.0233000000000001</v>
      </c>
      <c r="H69" s="43">
        <f t="shared" si="8"/>
        <v>369007</v>
      </c>
      <c r="I69" s="44">
        <f t="shared" si="9"/>
        <v>1160</v>
      </c>
      <c r="J69" s="65">
        <f t="shared" si="10"/>
        <v>318.10948275862069</v>
      </c>
      <c r="K69" s="76">
        <f t="shared" si="11"/>
        <v>325.52143370689657</v>
      </c>
      <c r="L69" s="51"/>
      <c r="M69" s="89">
        <v>369007</v>
      </c>
      <c r="N69" s="49">
        <v>1160</v>
      </c>
      <c r="O69" s="80">
        <v>318.11</v>
      </c>
      <c r="P69" s="51">
        <f t="shared" si="12"/>
        <v>325.52196300000003</v>
      </c>
      <c r="Q69" s="49"/>
      <c r="R69" s="49"/>
      <c r="S69" s="80"/>
      <c r="T69" s="51" t="str">
        <f t="shared" si="13"/>
        <v/>
      </c>
      <c r="U69" s="90" t="s">
        <v>37</v>
      </c>
      <c r="V69" s="90">
        <v>84010</v>
      </c>
      <c r="W69" s="91" t="s">
        <v>212</v>
      </c>
      <c r="X69" s="92" t="s">
        <v>213</v>
      </c>
      <c r="Y69" s="52" t="s">
        <v>43</v>
      </c>
      <c r="Z69" s="53" t="s">
        <v>36</v>
      </c>
      <c r="AA69" s="267"/>
      <c r="AB69" s="48"/>
      <c r="AC69" s="48"/>
    </row>
    <row r="70" spans="1:29" s="46" customFormat="1" x14ac:dyDescent="0.25">
      <c r="A70" s="39" t="s">
        <v>245</v>
      </c>
      <c r="B70" s="40" t="s">
        <v>179</v>
      </c>
      <c r="C70" s="41" t="s">
        <v>178</v>
      </c>
      <c r="D70" s="42">
        <v>44927</v>
      </c>
      <c r="E70" s="42">
        <v>45291</v>
      </c>
      <c r="F70" s="42">
        <f>((D70+E70)/2)-2</f>
        <v>45107</v>
      </c>
      <c r="G70" s="112">
        <f>_xlfn.XLOOKUP(F70,'A-6 CMS Market Basket Index '!$AZ$3:$AZ$8,'A-6 CMS Market Basket Index '!$BF$3:$BF$8)</f>
        <v>1.0538000000000001</v>
      </c>
      <c r="H70" s="43">
        <f t="shared" ref="H70:H78" si="15">IFERROR(M70+Q70,0)</f>
        <v>528508</v>
      </c>
      <c r="I70" s="44">
        <f t="shared" ref="I70:I78" si="16">IFERROR(N70+R70,0)</f>
        <v>1611</v>
      </c>
      <c r="J70" s="65">
        <f t="shared" ref="J70:J78" si="17">IFERROR(H70/I70,"")</f>
        <v>328.06207324643077</v>
      </c>
      <c r="K70" s="76">
        <f t="shared" ref="K70:K78" si="18">IF(J70="","",J70*$G70)</f>
        <v>345.71181278708877</v>
      </c>
      <c r="L70" s="51"/>
      <c r="M70" s="43">
        <v>505733</v>
      </c>
      <c r="N70" s="44">
        <v>1327</v>
      </c>
      <c r="O70" s="65">
        <v>381.11</v>
      </c>
      <c r="P70" s="51">
        <f t="shared" ref="P70:P78" si="19">IF(O70="","",O70*$G70)</f>
        <v>401.61371800000006</v>
      </c>
      <c r="Q70" s="44">
        <v>22775</v>
      </c>
      <c r="R70" s="44">
        <v>284</v>
      </c>
      <c r="S70" s="65">
        <v>80.19</v>
      </c>
      <c r="T70" s="51">
        <f t="shared" ref="T70:T78" si="20">IF(S70="","",S70*$G70)</f>
        <v>84.504221999999999</v>
      </c>
      <c r="U70" s="46" t="s">
        <v>18</v>
      </c>
      <c r="V70" s="46">
        <v>84107</v>
      </c>
      <c r="W70" s="69" t="s">
        <v>218</v>
      </c>
      <c r="X70" s="70" t="s">
        <v>209</v>
      </c>
      <c r="Z70" s="47"/>
      <c r="AA70" s="267"/>
      <c r="AB70" s="48"/>
      <c r="AC70" s="48"/>
    </row>
    <row r="71" spans="1:29" s="46" customFormat="1" x14ac:dyDescent="0.25">
      <c r="A71" s="50" t="s">
        <v>246</v>
      </c>
      <c r="B71" s="86" t="s">
        <v>35</v>
      </c>
      <c r="C71" s="87">
        <v>467035</v>
      </c>
      <c r="D71" s="88">
        <v>45108</v>
      </c>
      <c r="E71" s="88">
        <v>45473</v>
      </c>
      <c r="F71" s="42">
        <f>((D71+E71)/2)+1</f>
        <v>45291.5</v>
      </c>
      <c r="G71" s="112">
        <f>_xlfn.XLOOKUP(F71,'A-6 CMS Market Basket Index '!$AZ$3:$AZ$8,'A-6 CMS Market Basket Index '!$BF$3:$BF$8)</f>
        <v>1.0366</v>
      </c>
      <c r="H71" s="43">
        <f t="shared" si="15"/>
        <v>1100313</v>
      </c>
      <c r="I71" s="44">
        <f t="shared" si="16"/>
        <v>3093</v>
      </c>
      <c r="J71" s="65">
        <f t="shared" si="17"/>
        <v>355.74296799224055</v>
      </c>
      <c r="K71" s="76">
        <f t="shared" si="18"/>
        <v>368.76316062075654</v>
      </c>
      <c r="L71" s="51"/>
      <c r="M71" s="89">
        <v>1100313</v>
      </c>
      <c r="N71" s="49">
        <v>3093</v>
      </c>
      <c r="O71" s="80">
        <v>355.74</v>
      </c>
      <c r="P71" s="51">
        <f t="shared" si="19"/>
        <v>368.76008400000001</v>
      </c>
      <c r="Q71" s="49"/>
      <c r="R71" s="49"/>
      <c r="S71" s="80"/>
      <c r="T71" s="51" t="str">
        <f t="shared" si="20"/>
        <v/>
      </c>
      <c r="U71" s="90" t="s">
        <v>34</v>
      </c>
      <c r="V71" s="90">
        <v>84634</v>
      </c>
      <c r="W71" s="91" t="s">
        <v>220</v>
      </c>
      <c r="X71" s="92" t="s">
        <v>209</v>
      </c>
      <c r="Y71" s="52" t="s">
        <v>32</v>
      </c>
      <c r="Z71" s="53" t="s">
        <v>33</v>
      </c>
      <c r="AA71" s="267"/>
      <c r="AB71" s="48"/>
      <c r="AC71" s="48"/>
    </row>
    <row r="72" spans="1:29" s="46" customFormat="1" x14ac:dyDescent="0.25">
      <c r="A72" s="39" t="s">
        <v>245</v>
      </c>
      <c r="B72" s="40" t="s">
        <v>200</v>
      </c>
      <c r="C72" s="41" t="s">
        <v>198</v>
      </c>
      <c r="D72" s="42">
        <v>44927</v>
      </c>
      <c r="E72" s="42">
        <v>45291</v>
      </c>
      <c r="F72" s="42">
        <f t="shared" ref="F72:F78" si="21">((D72+E72)/2)-2</f>
        <v>45107</v>
      </c>
      <c r="G72" s="112">
        <f>_xlfn.XLOOKUP(F72,'A-6 CMS Market Basket Index '!$AZ$3:$AZ$8,'A-6 CMS Market Basket Index '!$BF$3:$BF$8)</f>
        <v>1.0538000000000001</v>
      </c>
      <c r="H72" s="43">
        <f t="shared" si="15"/>
        <v>291514</v>
      </c>
      <c r="I72" s="44">
        <f t="shared" si="16"/>
        <v>813</v>
      </c>
      <c r="J72" s="65">
        <f t="shared" si="17"/>
        <v>358.5658056580566</v>
      </c>
      <c r="K72" s="76">
        <f t="shared" si="18"/>
        <v>377.85664600246008</v>
      </c>
      <c r="L72" s="51"/>
      <c r="M72" s="43">
        <v>291514</v>
      </c>
      <c r="N72" s="44">
        <v>813</v>
      </c>
      <c r="O72" s="65">
        <v>358.57</v>
      </c>
      <c r="P72" s="51">
        <f t="shared" si="19"/>
        <v>377.86106599999999</v>
      </c>
      <c r="Q72" s="44"/>
      <c r="R72" s="44"/>
      <c r="S72" s="65"/>
      <c r="T72" s="51" t="str">
        <f t="shared" si="20"/>
        <v/>
      </c>
      <c r="U72" s="46" t="s">
        <v>199</v>
      </c>
      <c r="V72" s="46">
        <v>84780</v>
      </c>
      <c r="W72" s="69" t="s">
        <v>223</v>
      </c>
      <c r="X72" s="70" t="s">
        <v>209</v>
      </c>
      <c r="Z72" s="47"/>
      <c r="AA72" s="267"/>
      <c r="AB72" s="48"/>
      <c r="AC72" s="48"/>
    </row>
    <row r="73" spans="1:29" s="46" customFormat="1" x14ac:dyDescent="0.25">
      <c r="A73" s="39" t="s">
        <v>245</v>
      </c>
      <c r="B73" s="40" t="s">
        <v>131</v>
      </c>
      <c r="C73" s="41" t="s">
        <v>130</v>
      </c>
      <c r="D73" s="42">
        <v>44927</v>
      </c>
      <c r="E73" s="42">
        <v>45291</v>
      </c>
      <c r="F73" s="42">
        <f t="shared" si="21"/>
        <v>45107</v>
      </c>
      <c r="G73" s="112">
        <f>_xlfn.XLOOKUP(F73,'A-6 CMS Market Basket Index '!$AZ$3:$AZ$8,'A-6 CMS Market Basket Index '!$BF$3:$BF$8)</f>
        <v>1.0538000000000001</v>
      </c>
      <c r="H73" s="43">
        <f t="shared" si="15"/>
        <v>1018979</v>
      </c>
      <c r="I73" s="44">
        <f t="shared" si="16"/>
        <v>2378</v>
      </c>
      <c r="J73" s="65">
        <f t="shared" si="17"/>
        <v>428.50252312867957</v>
      </c>
      <c r="K73" s="76">
        <f t="shared" si="18"/>
        <v>451.55595887300257</v>
      </c>
      <c r="L73" s="51"/>
      <c r="M73" s="43">
        <v>1018461</v>
      </c>
      <c r="N73" s="44">
        <v>2370</v>
      </c>
      <c r="O73" s="65">
        <v>429.73</v>
      </c>
      <c r="P73" s="51">
        <f t="shared" si="19"/>
        <v>452.84947400000004</v>
      </c>
      <c r="Q73" s="44">
        <v>518</v>
      </c>
      <c r="R73" s="44">
        <v>8</v>
      </c>
      <c r="S73" s="65">
        <v>64.75</v>
      </c>
      <c r="T73" s="51">
        <f t="shared" si="20"/>
        <v>68.233550000000008</v>
      </c>
      <c r="U73" s="46" t="s">
        <v>48</v>
      </c>
      <c r="V73" s="46">
        <v>84107</v>
      </c>
      <c r="W73" s="69" t="s">
        <v>218</v>
      </c>
      <c r="X73" s="70" t="s">
        <v>209</v>
      </c>
      <c r="Z73" s="47"/>
      <c r="AA73" s="267"/>
      <c r="AB73" s="48"/>
      <c r="AC73" s="48"/>
    </row>
    <row r="74" spans="1:29" s="52" customFormat="1" x14ac:dyDescent="0.25">
      <c r="A74" s="39" t="s">
        <v>245</v>
      </c>
      <c r="B74" s="40" t="s">
        <v>77</v>
      </c>
      <c r="C74" s="41" t="s">
        <v>75</v>
      </c>
      <c r="D74" s="42">
        <v>44927</v>
      </c>
      <c r="E74" s="42">
        <v>45291</v>
      </c>
      <c r="F74" s="42">
        <f t="shared" si="21"/>
        <v>45107</v>
      </c>
      <c r="G74" s="112">
        <f>_xlfn.XLOOKUP(F74,'A-6 CMS Market Basket Index '!$AZ$3:$AZ$8,'A-6 CMS Market Basket Index '!$BF$3:$BF$8)</f>
        <v>1.0538000000000001</v>
      </c>
      <c r="H74" s="43">
        <f t="shared" si="15"/>
        <v>1567020</v>
      </c>
      <c r="I74" s="44">
        <f t="shared" si="16"/>
        <v>3124</v>
      </c>
      <c r="J74" s="65">
        <f t="shared" si="17"/>
        <v>501.60691421254802</v>
      </c>
      <c r="K74" s="76">
        <f t="shared" si="18"/>
        <v>528.59336619718317</v>
      </c>
      <c r="L74" s="51"/>
      <c r="M74" s="43">
        <v>1567020</v>
      </c>
      <c r="N74" s="44">
        <v>3124</v>
      </c>
      <c r="O74" s="65">
        <v>501.61</v>
      </c>
      <c r="P74" s="51">
        <f t="shared" si="19"/>
        <v>528.59661800000003</v>
      </c>
      <c r="Q74" s="44"/>
      <c r="R74" s="44"/>
      <c r="S74" s="65"/>
      <c r="T74" s="51" t="str">
        <f t="shared" si="20"/>
        <v/>
      </c>
      <c r="U74" s="46" t="s">
        <v>76</v>
      </c>
      <c r="V74" s="46">
        <v>84123</v>
      </c>
      <c r="W74" s="69" t="s">
        <v>218</v>
      </c>
      <c r="X74" s="70" t="s">
        <v>209</v>
      </c>
      <c r="Y74" s="46"/>
      <c r="Z74" s="47"/>
      <c r="AB74" s="54"/>
      <c r="AC74" s="54"/>
    </row>
    <row r="75" spans="1:29" s="52" customFormat="1" x14ac:dyDescent="0.25">
      <c r="A75" s="39" t="s">
        <v>245</v>
      </c>
      <c r="B75" s="40" t="s">
        <v>205</v>
      </c>
      <c r="C75" s="41" t="s">
        <v>206</v>
      </c>
      <c r="D75" s="42">
        <v>44927</v>
      </c>
      <c r="E75" s="42">
        <v>45291</v>
      </c>
      <c r="F75" s="42">
        <f t="shared" si="21"/>
        <v>45107</v>
      </c>
      <c r="G75" s="112">
        <f>_xlfn.XLOOKUP(F75,'A-6 CMS Market Basket Index '!$AZ$3:$AZ$8,'A-6 CMS Market Basket Index '!$BF$3:$BF$8)</f>
        <v>1.0538000000000001</v>
      </c>
      <c r="H75" s="43">
        <f t="shared" si="15"/>
        <v>1515523</v>
      </c>
      <c r="I75" s="44">
        <f t="shared" si="16"/>
        <v>2610</v>
      </c>
      <c r="J75" s="65">
        <f t="shared" si="17"/>
        <v>580.66015325670503</v>
      </c>
      <c r="K75" s="76">
        <f t="shared" si="18"/>
        <v>611.89966950191581</v>
      </c>
      <c r="L75" s="51"/>
      <c r="M75" s="43">
        <v>1503132</v>
      </c>
      <c r="N75" s="44">
        <v>2586</v>
      </c>
      <c r="O75" s="65">
        <v>581.26</v>
      </c>
      <c r="P75" s="51">
        <f t="shared" si="19"/>
        <v>612.53178800000001</v>
      </c>
      <c r="Q75" s="44">
        <v>12391</v>
      </c>
      <c r="R75" s="44">
        <v>24</v>
      </c>
      <c r="S75" s="65">
        <v>516.29</v>
      </c>
      <c r="T75" s="51">
        <f t="shared" si="20"/>
        <v>544.06640200000004</v>
      </c>
      <c r="U75" s="46" t="s">
        <v>18</v>
      </c>
      <c r="V75" s="46">
        <v>84107</v>
      </c>
      <c r="W75" s="69" t="s">
        <v>218</v>
      </c>
      <c r="X75" s="70" t="s">
        <v>209</v>
      </c>
      <c r="Y75" s="46"/>
      <c r="Z75" s="47"/>
      <c r="AB75" s="54"/>
      <c r="AC75" s="54"/>
    </row>
    <row r="76" spans="1:29" s="52" customFormat="1" x14ac:dyDescent="0.25">
      <c r="A76" s="39" t="s">
        <v>245</v>
      </c>
      <c r="B76" s="40" t="s">
        <v>203</v>
      </c>
      <c r="C76" s="41" t="s">
        <v>204</v>
      </c>
      <c r="D76" s="42">
        <v>44927</v>
      </c>
      <c r="E76" s="42">
        <v>45291</v>
      </c>
      <c r="F76" s="42">
        <f t="shared" si="21"/>
        <v>45107</v>
      </c>
      <c r="G76" s="112">
        <f>_xlfn.XLOOKUP(F76,'A-6 CMS Market Basket Index '!$AZ$3:$AZ$8,'A-6 CMS Market Basket Index '!$BF$3:$BF$8)</f>
        <v>1.0538000000000001</v>
      </c>
      <c r="H76" s="43">
        <f t="shared" si="15"/>
        <v>121893</v>
      </c>
      <c r="I76" s="44">
        <f t="shared" si="16"/>
        <v>194</v>
      </c>
      <c r="J76" s="65">
        <f t="shared" si="17"/>
        <v>628.31443298969077</v>
      </c>
      <c r="K76" s="76">
        <f t="shared" si="18"/>
        <v>662.11774948453615</v>
      </c>
      <c r="L76" s="51"/>
      <c r="M76" s="43">
        <v>121893</v>
      </c>
      <c r="N76" s="44">
        <v>194</v>
      </c>
      <c r="O76" s="65">
        <v>628.30999999999995</v>
      </c>
      <c r="P76" s="51">
        <f t="shared" si="19"/>
        <v>662.11307799999997</v>
      </c>
      <c r="Q76" s="44"/>
      <c r="R76" s="44"/>
      <c r="S76" s="65"/>
      <c r="T76" s="51" t="str">
        <f t="shared" si="20"/>
        <v/>
      </c>
      <c r="U76" s="46" t="s">
        <v>17</v>
      </c>
      <c r="V76" s="46">
        <v>84097</v>
      </c>
      <c r="W76" s="69" t="s">
        <v>15</v>
      </c>
      <c r="X76" s="70" t="s">
        <v>213</v>
      </c>
      <c r="Y76" s="46"/>
      <c r="Z76" s="47"/>
      <c r="AB76" s="54"/>
      <c r="AC76" s="54"/>
    </row>
    <row r="77" spans="1:29" s="52" customFormat="1" x14ac:dyDescent="0.25">
      <c r="A77" s="39" t="s">
        <v>245</v>
      </c>
      <c r="B77" s="40" t="s">
        <v>152</v>
      </c>
      <c r="C77" s="41" t="s">
        <v>153</v>
      </c>
      <c r="D77" s="42">
        <v>44927</v>
      </c>
      <c r="E77" s="42">
        <v>45291</v>
      </c>
      <c r="F77" s="42">
        <f t="shared" si="21"/>
        <v>45107</v>
      </c>
      <c r="G77" s="112">
        <f>_xlfn.XLOOKUP(F77,'A-6 CMS Market Basket Index '!$AZ$3:$AZ$8,'A-6 CMS Market Basket Index '!$BF$3:$BF$8)</f>
        <v>1.0538000000000001</v>
      </c>
      <c r="H77" s="43">
        <f t="shared" si="15"/>
        <v>318332</v>
      </c>
      <c r="I77" s="44">
        <f t="shared" si="16"/>
        <v>375</v>
      </c>
      <c r="J77" s="65">
        <f t="shared" si="17"/>
        <v>848.88533333333328</v>
      </c>
      <c r="K77" s="76">
        <f t="shared" si="18"/>
        <v>894.55536426666663</v>
      </c>
      <c r="L77" s="51"/>
      <c r="M77" s="43">
        <v>318332</v>
      </c>
      <c r="N77" s="44">
        <v>375</v>
      </c>
      <c r="O77" s="65">
        <v>848.89</v>
      </c>
      <c r="P77" s="51">
        <f t="shared" si="19"/>
        <v>894.56028200000003</v>
      </c>
      <c r="Q77" s="44"/>
      <c r="R77" s="44"/>
      <c r="S77" s="65"/>
      <c r="T77" s="51" t="str">
        <f t="shared" si="20"/>
        <v/>
      </c>
      <c r="U77" s="46" t="s">
        <v>62</v>
      </c>
      <c r="V77" s="46">
        <v>84790</v>
      </c>
      <c r="W77" s="69" t="s">
        <v>223</v>
      </c>
      <c r="X77" s="70" t="s">
        <v>209</v>
      </c>
      <c r="Y77" s="46"/>
      <c r="Z77" s="47"/>
      <c r="AB77" s="54"/>
      <c r="AC77" s="54"/>
    </row>
    <row r="78" spans="1:29" s="52" customFormat="1" x14ac:dyDescent="0.25">
      <c r="A78" s="39" t="s">
        <v>245</v>
      </c>
      <c r="B78" s="40" t="s">
        <v>195</v>
      </c>
      <c r="C78" s="41" t="s">
        <v>194</v>
      </c>
      <c r="D78" s="42">
        <v>44927</v>
      </c>
      <c r="E78" s="42">
        <v>45291</v>
      </c>
      <c r="F78" s="42">
        <f t="shared" si="21"/>
        <v>45107</v>
      </c>
      <c r="G78" s="112">
        <f>_xlfn.XLOOKUP(F78,'A-6 CMS Market Basket Index '!$AZ$3:$AZ$8,'A-6 CMS Market Basket Index '!$BF$3:$BF$8)</f>
        <v>1.0538000000000001</v>
      </c>
      <c r="H78" s="43">
        <f t="shared" si="15"/>
        <v>140333</v>
      </c>
      <c r="I78" s="44">
        <f t="shared" si="16"/>
        <v>115</v>
      </c>
      <c r="J78" s="65">
        <f t="shared" si="17"/>
        <v>1220.2869565217391</v>
      </c>
      <c r="K78" s="76">
        <f t="shared" si="18"/>
        <v>1285.9383947826086</v>
      </c>
      <c r="L78" s="51" t="str">
        <f>IF(K78&gt;$K$95,"OL","")</f>
        <v>OL</v>
      </c>
      <c r="M78" s="43">
        <v>140333</v>
      </c>
      <c r="N78" s="44">
        <v>115</v>
      </c>
      <c r="O78" s="65">
        <v>1220.29</v>
      </c>
      <c r="P78" s="51">
        <f t="shared" si="19"/>
        <v>1285.9416020000001</v>
      </c>
      <c r="Q78" s="44"/>
      <c r="R78" s="44"/>
      <c r="S78" s="65"/>
      <c r="T78" s="51" t="str">
        <f t="shared" si="20"/>
        <v/>
      </c>
      <c r="U78" s="46" t="s">
        <v>50</v>
      </c>
      <c r="V78" s="46">
        <v>84321</v>
      </c>
      <c r="W78" s="69" t="s">
        <v>210</v>
      </c>
      <c r="X78" s="70" t="s">
        <v>209</v>
      </c>
      <c r="Y78" s="46"/>
      <c r="Z78" s="47"/>
      <c r="AB78" s="54"/>
      <c r="AC78" s="54"/>
    </row>
    <row r="79" spans="1:29" s="133" customFormat="1" ht="15.75" thickBot="1" x14ac:dyDescent="0.3">
      <c r="A79" s="124" t="s">
        <v>386</v>
      </c>
      <c r="B79" s="125"/>
      <c r="C79" s="126"/>
      <c r="D79" s="127"/>
      <c r="E79" s="127"/>
      <c r="F79" s="127"/>
      <c r="G79" s="128">
        <f>AVERAGE(G6:G78)</f>
        <v>1.0526287671232879</v>
      </c>
      <c r="H79" s="129">
        <f>SUM(H6:H78)</f>
        <v>118532167</v>
      </c>
      <c r="I79" s="130">
        <f>SUM(I6:I78)</f>
        <v>811149</v>
      </c>
      <c r="J79" s="131">
        <f>H79/I79</f>
        <v>146.12872234324396</v>
      </c>
      <c r="K79" s="131">
        <f>J79*$G79</f>
        <v>153.81929684147016</v>
      </c>
      <c r="L79" s="132"/>
      <c r="M79" s="129">
        <f>SUM(M6:M78)</f>
        <v>113728968</v>
      </c>
      <c r="N79" s="130">
        <f>SUM(N6:N78)</f>
        <v>774418</v>
      </c>
      <c r="O79" s="131">
        <f>M79/N79</f>
        <v>146.85734060933501</v>
      </c>
      <c r="P79" s="132">
        <f t="shared" ref="P79" si="22">O79*$G79</f>
        <v>154.58626138860907</v>
      </c>
      <c r="Q79" s="130">
        <f>SUM(Q6:Q78)</f>
        <v>4803199</v>
      </c>
      <c r="R79" s="130">
        <f>SUM(R6:R78)</f>
        <v>36731</v>
      </c>
      <c r="S79" s="131">
        <f>Q79/R79</f>
        <v>130.76689989382265</v>
      </c>
      <c r="T79" s="132">
        <f t="shared" ref="T79" si="23">S79*$G79</f>
        <v>137.64900061576895</v>
      </c>
      <c r="W79" s="134"/>
      <c r="X79" s="135"/>
    </row>
    <row r="80" spans="1:29" s="46" customFormat="1" ht="15.75" thickTop="1" x14ac:dyDescent="0.25">
      <c r="A80" s="39"/>
      <c r="B80" s="40" t="s">
        <v>469</v>
      </c>
      <c r="C80" s="41"/>
      <c r="D80" s="42"/>
      <c r="E80" s="42"/>
      <c r="F80" s="42"/>
      <c r="G80" s="121"/>
      <c r="H80" s="44"/>
      <c r="I80" s="44"/>
      <c r="J80" s="65"/>
      <c r="K80" s="79"/>
      <c r="L80" s="71"/>
      <c r="M80" s="43"/>
      <c r="N80" s="44"/>
      <c r="O80" s="65"/>
      <c r="P80" s="45"/>
      <c r="Q80" s="44"/>
      <c r="R80" s="44"/>
      <c r="S80" s="65"/>
      <c r="T80" s="45"/>
      <c r="W80" s="69"/>
      <c r="X80" s="70"/>
    </row>
    <row r="81" spans="1:24" s="46" customFormat="1" x14ac:dyDescent="0.25">
      <c r="A81" s="39"/>
      <c r="B81" s="40" t="s">
        <v>213</v>
      </c>
      <c r="C81" s="41">
        <f>COUNTIF($X$6:$X$78,B81)</f>
        <v>20</v>
      </c>
      <c r="D81" s="42"/>
      <c r="E81" s="55" t="s">
        <v>247</v>
      </c>
      <c r="F81" s="42"/>
      <c r="G81" s="121"/>
      <c r="H81" s="44"/>
      <c r="I81" s="44"/>
      <c r="J81" s="57" t="s">
        <v>390</v>
      </c>
      <c r="K81" s="119"/>
      <c r="L81" s="82"/>
      <c r="M81" s="56"/>
      <c r="N81" s="57"/>
      <c r="O81" s="57" t="s">
        <v>390</v>
      </c>
      <c r="P81" s="58"/>
      <c r="Q81" s="44"/>
      <c r="R81" s="44"/>
      <c r="S81" s="57" t="s">
        <v>390</v>
      </c>
      <c r="T81" s="58"/>
      <c r="W81" s="69"/>
      <c r="X81" s="70"/>
    </row>
    <row r="82" spans="1:24" s="46" customFormat="1" ht="17.25" x14ac:dyDescent="0.4">
      <c r="A82" s="39"/>
      <c r="B82" s="40" t="s">
        <v>209</v>
      </c>
      <c r="C82" s="41">
        <f>COUNTIF($X$6:$X$78,B82)</f>
        <v>53</v>
      </c>
      <c r="D82" s="42"/>
      <c r="E82" s="42"/>
      <c r="F82" s="42"/>
      <c r="G82" s="121"/>
      <c r="H82" s="61"/>
      <c r="I82" s="61"/>
      <c r="J82" s="61" t="s">
        <v>383</v>
      </c>
      <c r="K82" s="61" t="s">
        <v>389</v>
      </c>
      <c r="L82" s="83"/>
      <c r="M82" s="60"/>
      <c r="N82" s="61"/>
      <c r="O82" s="61" t="s">
        <v>383</v>
      </c>
      <c r="P82" s="62" t="s">
        <v>389</v>
      </c>
      <c r="Q82" s="61"/>
      <c r="R82" s="61"/>
      <c r="S82" s="61" t="s">
        <v>383</v>
      </c>
      <c r="T82" s="62" t="s">
        <v>389</v>
      </c>
      <c r="W82" s="69"/>
      <c r="X82" s="70"/>
    </row>
    <row r="83" spans="1:24" s="46" customFormat="1" x14ac:dyDescent="0.25">
      <c r="A83" s="39"/>
      <c r="B83" s="40" t="s">
        <v>215</v>
      </c>
      <c r="C83" s="41">
        <f t="shared" ref="C83:C84" si="24">COUNTIF($X$6:$X$78,B83)</f>
        <v>0</v>
      </c>
      <c r="D83" s="42"/>
      <c r="F83" s="42"/>
      <c r="G83" s="42" t="s">
        <v>248</v>
      </c>
      <c r="H83" s="63"/>
      <c r="I83" s="72"/>
      <c r="J83" s="72">
        <f>MIN(K$6:K$77)</f>
        <v>32.641195820061824</v>
      </c>
      <c r="K83" s="72">
        <f>MIN(K$6:K$78)</f>
        <v>32.641195820061824</v>
      </c>
      <c r="L83" s="84"/>
      <c r="M83" s="63"/>
      <c r="N83" s="72"/>
      <c r="O83" s="41" t="s">
        <v>391</v>
      </c>
      <c r="P83" s="64">
        <f>MIN(P$6:P$78)</f>
        <v>10.906830000000001</v>
      </c>
      <c r="Q83" s="72"/>
      <c r="R83" s="72"/>
      <c r="S83" s="41" t="s">
        <v>391</v>
      </c>
      <c r="T83" s="64">
        <f>MIN(T$6:T$78)</f>
        <v>31.192480000000003</v>
      </c>
      <c r="W83" s="69"/>
      <c r="X83" s="70"/>
    </row>
    <row r="84" spans="1:24" s="46" customFormat="1" x14ac:dyDescent="0.25">
      <c r="A84" s="39"/>
      <c r="B84" s="40" t="s">
        <v>219</v>
      </c>
      <c r="C84" s="220">
        <f t="shared" si="24"/>
        <v>0</v>
      </c>
      <c r="D84" s="42"/>
      <c r="F84" s="42"/>
      <c r="G84" s="42" t="s">
        <v>249</v>
      </c>
      <c r="H84" s="63"/>
      <c r="I84" s="72"/>
      <c r="J84" s="72">
        <f>MAX(K$6:K$77)</f>
        <v>894.55536426666663</v>
      </c>
      <c r="K84" s="72">
        <f>MAX(K$6:K$78)</f>
        <v>1285.9383947826086</v>
      </c>
      <c r="L84" s="84"/>
      <c r="M84" s="63"/>
      <c r="N84" s="72"/>
      <c r="O84" s="41" t="s">
        <v>391</v>
      </c>
      <c r="P84" s="72">
        <f>MAX(P$6:P$78)</f>
        <v>1285.9416020000001</v>
      </c>
      <c r="Q84" s="63"/>
      <c r="R84" s="72"/>
      <c r="S84" s="41" t="s">
        <v>391</v>
      </c>
      <c r="T84" s="64">
        <f>MAX(T$6:T$78)</f>
        <v>6066.9057460000004</v>
      </c>
      <c r="W84" s="69"/>
      <c r="X84" s="70"/>
    </row>
    <row r="85" spans="1:24" s="46" customFormat="1" x14ac:dyDescent="0.25">
      <c r="A85" s="39"/>
      <c r="B85" s="40"/>
      <c r="C85" s="219">
        <f>SUM(C81:C84)</f>
        <v>73</v>
      </c>
      <c r="D85" s="42"/>
      <c r="F85" s="42"/>
      <c r="G85" s="42" t="s">
        <v>250</v>
      </c>
      <c r="H85" s="63"/>
      <c r="I85" s="72"/>
      <c r="J85" s="72" cm="1">
        <f t="array" ref="J85">ROUND(MEDIAN(IF(K$6:K$77&gt;0,K$6:K$77)),2)</f>
        <v>170.73</v>
      </c>
      <c r="K85" s="72" cm="1">
        <f t="array" ref="K85">ROUND(MEDIAN(IF(K$6:K$78&gt;0,K$6:K$78)),2)</f>
        <v>172.43</v>
      </c>
      <c r="L85" s="84"/>
      <c r="M85" s="63"/>
      <c r="N85" s="72"/>
      <c r="O85" s="41" t="s">
        <v>391</v>
      </c>
      <c r="P85" s="72" cm="1">
        <f t="array" ref="P85">ROUND(MEDIAN(IF(P$6:P$78&gt;0,P$6:P$78)),2)</f>
        <v>171.23</v>
      </c>
      <c r="Q85" s="63"/>
      <c r="R85" s="72"/>
      <c r="S85" s="41" t="s">
        <v>391</v>
      </c>
      <c r="T85" s="64" cm="1">
        <f t="array" ref="T85">ROUND(MEDIAN(IF(T$6:T$78&gt;0,T$6:T$78)),2)</f>
        <v>117.35</v>
      </c>
      <c r="W85" s="69"/>
      <c r="X85" s="70"/>
    </row>
    <row r="86" spans="1:24" s="46" customFormat="1" x14ac:dyDescent="0.25">
      <c r="A86" s="39"/>
      <c r="B86" s="40"/>
      <c r="C86" s="59"/>
      <c r="D86" s="42"/>
      <c r="F86" s="42"/>
      <c r="G86" s="42" t="s">
        <v>251</v>
      </c>
      <c r="H86" s="63"/>
      <c r="I86" s="72"/>
      <c r="J86" s="72">
        <f>AVERAGE(K$6:K$77)</f>
        <v>207.4082256751075</v>
      </c>
      <c r="K86" s="72">
        <f>AVERAGE(K$6:K$78)</f>
        <v>222.18261155329245</v>
      </c>
      <c r="L86" s="84"/>
      <c r="M86" s="63"/>
      <c r="N86" s="72"/>
      <c r="O86" s="41" t="s">
        <v>391</v>
      </c>
      <c r="P86" s="72">
        <f>AVERAGE(P$6:P$78)</f>
        <v>220.94263239726027</v>
      </c>
      <c r="Q86" s="63"/>
      <c r="R86" s="72"/>
      <c r="S86" s="41" t="s">
        <v>391</v>
      </c>
      <c r="T86" s="64">
        <f>AVERAGE(T$6:T$78)</f>
        <v>376.36824439024389</v>
      </c>
      <c r="W86" s="69"/>
      <c r="X86" s="70"/>
    </row>
    <row r="87" spans="1:24" s="90" customFormat="1" x14ac:dyDescent="0.25">
      <c r="A87" s="167"/>
      <c r="B87" s="168" t="s">
        <v>458</v>
      </c>
      <c r="C87" s="169"/>
      <c r="D87" s="170"/>
      <c r="E87" s="171"/>
      <c r="F87" s="170"/>
      <c r="G87" s="170" t="s">
        <v>252</v>
      </c>
      <c r="H87" s="181" t="s">
        <v>459</v>
      </c>
      <c r="I87" s="182">
        <f>ROUND(J87/4,2)</f>
        <v>38.44</v>
      </c>
      <c r="J87" s="173">
        <f>SUMPRODUCT(K6:K77,I6:I77)/SUM(I6:I77)</f>
        <v>153.74024745066171</v>
      </c>
      <c r="K87" s="176">
        <f>K79</f>
        <v>153.81929684147016</v>
      </c>
      <c r="L87" s="180"/>
      <c r="M87" s="175"/>
      <c r="N87" s="80"/>
      <c r="O87" s="87" t="s">
        <v>391</v>
      </c>
      <c r="P87" s="176">
        <f>P79</f>
        <v>154.58626138860907</v>
      </c>
      <c r="Q87" s="175"/>
      <c r="R87" s="80"/>
      <c r="S87" s="87" t="s">
        <v>391</v>
      </c>
      <c r="T87" s="177">
        <f>T79</f>
        <v>137.64900061576895</v>
      </c>
      <c r="W87" s="91"/>
      <c r="X87" s="92"/>
    </row>
    <row r="88" spans="1:24" s="46" customFormat="1" x14ac:dyDescent="0.25">
      <c r="A88" s="39"/>
      <c r="B88" s="40"/>
      <c r="C88" s="59"/>
      <c r="F88" s="66">
        <v>0.5</v>
      </c>
      <c r="G88" s="42" t="s">
        <v>253</v>
      </c>
      <c r="H88" s="63"/>
      <c r="I88" s="72"/>
      <c r="J88" s="72">
        <f>ROUND(_xlfn.PERCENTILE.INC(K$6:K$77,$F$88),2)</f>
        <v>170.73</v>
      </c>
      <c r="K88" s="72">
        <f>ROUND(_xlfn.PERCENTILE.INC(K$6:K$78,$F$88),2)</f>
        <v>172.43</v>
      </c>
      <c r="L88" s="84"/>
      <c r="M88" s="63"/>
      <c r="N88" s="72"/>
      <c r="O88" s="41" t="s">
        <v>391</v>
      </c>
      <c r="P88" s="72">
        <f>ROUND(_xlfn.PERCENTILE.INC(P$6:P$78,$F$88),2)</f>
        <v>171.23</v>
      </c>
      <c r="Q88" s="63"/>
      <c r="R88" s="72"/>
      <c r="S88" s="41" t="s">
        <v>391</v>
      </c>
      <c r="T88" s="64">
        <f>ROUND(_xlfn.PERCENTILE.INC(T$6:T$78,$F$88),2)</f>
        <v>117.35</v>
      </c>
      <c r="W88" s="69"/>
      <c r="X88" s="70"/>
    </row>
    <row r="89" spans="1:24" s="46" customFormat="1" x14ac:dyDescent="0.25">
      <c r="A89" s="39"/>
      <c r="B89" s="40"/>
      <c r="C89" s="41"/>
      <c r="D89" s="42"/>
      <c r="G89" s="46" t="s">
        <v>387</v>
      </c>
      <c r="J89" s="65">
        <f>_xlfn.STDEV.P(K6:K77)</f>
        <v>146.58633888838037</v>
      </c>
      <c r="K89" s="65">
        <f>_xlfn.STDEV.P(K6:K78)</f>
        <v>192.11856522790609</v>
      </c>
      <c r="L89" s="71"/>
      <c r="M89" s="43"/>
      <c r="N89" s="44"/>
      <c r="O89" s="41" t="s">
        <v>391</v>
      </c>
      <c r="P89" s="65">
        <f>_xlfn.STDEV.P(P6:P78)</f>
        <v>193.94020759027251</v>
      </c>
      <c r="Q89" s="44"/>
      <c r="R89" s="44"/>
      <c r="S89" s="41" t="s">
        <v>391</v>
      </c>
      <c r="T89" s="65">
        <f>_xlfn.STDEV.P(T6:T78)</f>
        <v>944.88816226886343</v>
      </c>
      <c r="W89" s="69"/>
      <c r="X89" s="70"/>
    </row>
    <row r="90" spans="1:24" x14ac:dyDescent="0.25">
      <c r="G90" s="46" t="s">
        <v>444</v>
      </c>
      <c r="K90" s="65">
        <f>_xlfn.QUARTILE.INC(K6:K78,1)</f>
        <v>119.32128459739393</v>
      </c>
    </row>
    <row r="91" spans="1:24" x14ac:dyDescent="0.25">
      <c r="G91" s="46" t="s">
        <v>445</v>
      </c>
      <c r="K91" s="65">
        <f>_xlfn.QUARTILE.INC(K6:K78,2)</f>
        <v>172.4296045606448</v>
      </c>
    </row>
    <row r="92" spans="1:24" x14ac:dyDescent="0.25">
      <c r="G92" s="46" t="s">
        <v>446</v>
      </c>
      <c r="K92" s="65">
        <f>_xlfn.QUARTILE.INC(K6:K78,3)</f>
        <v>255.29559523809525</v>
      </c>
    </row>
    <row r="93" spans="1:24" x14ac:dyDescent="0.25">
      <c r="G93" s="46" t="s">
        <v>447</v>
      </c>
      <c r="K93" s="65">
        <f>_xlfn.QUARTILE.INC(K6:K78,4)</f>
        <v>1285.9383947826086</v>
      </c>
    </row>
    <row r="94" spans="1:24" x14ac:dyDescent="0.25">
      <c r="G94" s="46" t="s">
        <v>448</v>
      </c>
      <c r="K94" s="65">
        <f>K92-K90</f>
        <v>135.97431064070133</v>
      </c>
    </row>
    <row r="95" spans="1:24" x14ac:dyDescent="0.25">
      <c r="G95" s="46" t="s">
        <v>451</v>
      </c>
      <c r="K95" s="65">
        <f>K92+K94*1.5</f>
        <v>459.25706119914724</v>
      </c>
    </row>
    <row r="96" spans="1:24" x14ac:dyDescent="0.25">
      <c r="G96" s="46" t="s">
        <v>452</v>
      </c>
      <c r="J96" s="162" t="str">
        <f>IF(K96&lt;0,"Negative, no low outlier","")</f>
        <v>Negative, no low outlier</v>
      </c>
      <c r="K96" s="65">
        <f>K90-1.5*K94</f>
        <v>-84.640181363658073</v>
      </c>
    </row>
    <row r="98" spans="1:2" x14ac:dyDescent="0.25">
      <c r="A98" t="s">
        <v>448</v>
      </c>
      <c r="B98" s="161" t="s">
        <v>449</v>
      </c>
    </row>
    <row r="99" spans="1:2" x14ac:dyDescent="0.25">
      <c r="B99" s="161" t="s">
        <v>450</v>
      </c>
    </row>
  </sheetData>
  <autoFilter ref="B4:W89" xr:uid="{00000000-0009-0000-0000-000009000000}"/>
  <sortState xmlns:xlrd2="http://schemas.microsoft.com/office/spreadsheetml/2017/richdata2" ref="A6:Z78">
    <sortCondition ref="K6:K78"/>
  </sortState>
  <mergeCells count="1">
    <mergeCell ref="L2:L4"/>
  </mergeCells>
  <hyperlinks>
    <hyperlink ref="B98" r:id="rId1" display="https://www.khanacademy.org/math/statistics-probability/summarizing-quantitative-data/box-whisker-plots/a/identifying-outliers-iqr-rule" xr:uid="{4A67A553-7EA8-45C3-BC07-B1BAB727C481}"/>
    <hyperlink ref="B99" r:id="rId2" display="https://www.youtube.com/watch?v=9aDHbRb4Bf8" xr:uid="{93B23DDF-B934-4EE4-BFD0-E60F672E78E1}"/>
  </hyperlinks>
  <pageMargins left="0.7" right="0.7" top="0.75" bottom="0.75" header="0.3" footer="0.3"/>
  <pageSetup paperSize="3" scale="38" fitToHeight="0" orientation="landscape" verticalDpi="0" r:id="rId3"/>
  <rowBreaks count="1" manualBreakCount="1">
    <brk id="88" max="16383" man="1"/>
  </rowBreaks>
  <customProperties>
    <customPr name="OrphanNamesChecked" r:id="rId4"/>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75935-B4CF-414E-A681-646BE929FCB9}">
  <sheetPr>
    <tabColor rgb="FF92D050"/>
    <pageSetUpPr fitToPage="1"/>
  </sheetPr>
  <dimension ref="A1:AC96"/>
  <sheetViews>
    <sheetView workbookViewId="0"/>
  </sheetViews>
  <sheetFormatPr defaultRowHeight="15" x14ac:dyDescent="0.25"/>
  <cols>
    <col min="1" max="1" width="6.5703125" customWidth="1"/>
    <col min="2" max="2" width="27.85546875" style="1" customWidth="1"/>
    <col min="3" max="3" width="9.42578125" style="20" customWidth="1"/>
    <col min="4" max="4" width="12.140625" style="2" customWidth="1"/>
    <col min="5" max="5" width="12.42578125" style="2" customWidth="1"/>
    <col min="6" max="6" width="13.42578125" style="2" customWidth="1"/>
    <col min="7" max="7" width="10" style="2" customWidth="1"/>
    <col min="8" max="8" width="12.85546875" customWidth="1"/>
    <col min="9" max="9" width="11.28515625" customWidth="1"/>
    <col min="10" max="10" width="12.85546875" style="77" customWidth="1"/>
    <col min="11" max="11" width="11.42578125" style="120" customWidth="1"/>
    <col min="12" max="12" width="4.28515625" style="85" customWidth="1"/>
    <col min="13" max="13" width="12.85546875" customWidth="1"/>
    <col min="14" max="14" width="11.28515625" customWidth="1"/>
    <col min="15" max="15" width="11.42578125" style="77" customWidth="1"/>
    <col min="16" max="16" width="11.42578125" style="68" customWidth="1"/>
    <col min="17" max="17" width="12.85546875" customWidth="1"/>
    <col min="18" max="18" width="11.28515625" customWidth="1"/>
    <col min="19" max="19" width="11.42578125" style="77" customWidth="1"/>
    <col min="20" max="20" width="11.42578125" style="68" customWidth="1"/>
    <col min="21" max="21" width="10" customWidth="1"/>
    <col min="22" max="22" width="8.85546875" customWidth="1"/>
    <col min="23" max="24" width="11.42578125" style="4" customWidth="1"/>
    <col min="25" max="25" width="24.140625" customWidth="1"/>
  </cols>
  <sheetData>
    <row r="1" spans="1:29" s="18" customFormat="1" ht="39" customHeight="1" x14ac:dyDescent="0.55000000000000004">
      <c r="A1" s="9" t="s">
        <v>388</v>
      </c>
      <c r="B1" s="10"/>
      <c r="C1" s="10"/>
      <c r="D1" s="6"/>
      <c r="E1" s="6"/>
      <c r="F1" s="6"/>
      <c r="G1" s="6"/>
      <c r="H1" s="14" t="s">
        <v>228</v>
      </c>
      <c r="I1" s="14"/>
      <c r="J1" s="14"/>
      <c r="K1" s="15"/>
      <c r="L1" s="16"/>
      <c r="M1" s="12" t="s">
        <v>0</v>
      </c>
      <c r="N1" s="12"/>
      <c r="O1" s="12"/>
      <c r="P1" s="13"/>
      <c r="Q1" s="12" t="s">
        <v>227</v>
      </c>
      <c r="R1" s="12"/>
      <c r="S1" s="12"/>
      <c r="T1" s="13"/>
      <c r="U1" s="17" t="s">
        <v>12</v>
      </c>
      <c r="V1" s="17" t="s">
        <v>14</v>
      </c>
      <c r="W1" s="17" t="s">
        <v>207</v>
      </c>
      <c r="X1" s="17" t="s">
        <v>234</v>
      </c>
      <c r="Y1" s="5" t="s">
        <v>235</v>
      </c>
      <c r="Z1" s="5" t="s">
        <v>236</v>
      </c>
    </row>
    <row r="2" spans="1:29" ht="18.75" x14ac:dyDescent="0.4">
      <c r="A2" s="19" t="s">
        <v>237</v>
      </c>
      <c r="D2" s="1"/>
      <c r="G2" s="113" t="s">
        <v>257</v>
      </c>
      <c r="H2" s="24" t="s">
        <v>238</v>
      </c>
      <c r="I2" s="24" t="s">
        <v>239</v>
      </c>
      <c r="J2" s="78" t="s">
        <v>240</v>
      </c>
      <c r="K2" s="78" t="s">
        <v>258</v>
      </c>
      <c r="L2" s="281" t="s">
        <v>384</v>
      </c>
      <c r="M2" s="22" t="s">
        <v>238</v>
      </c>
      <c r="N2" s="22" t="s">
        <v>239</v>
      </c>
      <c r="O2" s="73" t="s">
        <v>240</v>
      </c>
      <c r="P2" s="23" t="s">
        <v>258</v>
      </c>
      <c r="Q2" s="22" t="s">
        <v>238</v>
      </c>
      <c r="R2" s="22" t="s">
        <v>239</v>
      </c>
      <c r="S2" s="73" t="s">
        <v>240</v>
      </c>
      <c r="T2" s="23" t="s">
        <v>258</v>
      </c>
      <c r="U2" s="25"/>
      <c r="V2" s="25"/>
      <c r="W2" s="25"/>
      <c r="X2" s="25"/>
    </row>
    <row r="3" spans="1:29" s="5" customFormat="1" x14ac:dyDescent="0.25">
      <c r="A3" s="19" t="s">
        <v>241</v>
      </c>
      <c r="B3" s="8"/>
      <c r="C3" s="8" t="s">
        <v>242</v>
      </c>
      <c r="D3" s="8"/>
      <c r="E3" s="26"/>
      <c r="F3" s="26" t="s">
        <v>255</v>
      </c>
      <c r="G3" s="114" t="s">
        <v>259</v>
      </c>
      <c r="H3" s="8"/>
      <c r="I3" s="8"/>
      <c r="J3" s="74"/>
      <c r="K3" s="116" t="s">
        <v>259</v>
      </c>
      <c r="L3" s="281"/>
      <c r="M3" s="8" t="s">
        <v>4</v>
      </c>
      <c r="N3" s="8" t="s">
        <v>4</v>
      </c>
      <c r="O3" s="74" t="s">
        <v>4</v>
      </c>
      <c r="P3" s="28" t="s">
        <v>259</v>
      </c>
      <c r="Q3" s="8" t="s">
        <v>6</v>
      </c>
      <c r="R3" s="8" t="s">
        <v>6</v>
      </c>
      <c r="S3" s="74" t="s">
        <v>6</v>
      </c>
      <c r="T3" s="28" t="s">
        <v>259</v>
      </c>
      <c r="U3" s="8" t="s">
        <v>3</v>
      </c>
      <c r="V3" s="8" t="s">
        <v>3</v>
      </c>
      <c r="W3" s="3"/>
      <c r="X3" s="3"/>
    </row>
    <row r="4" spans="1:29" s="5" customFormat="1" x14ac:dyDescent="0.25">
      <c r="A4" s="5" t="s">
        <v>243</v>
      </c>
      <c r="B4" s="29" t="s">
        <v>13</v>
      </c>
      <c r="C4" s="29" t="s">
        <v>244</v>
      </c>
      <c r="D4" s="30" t="s">
        <v>10</v>
      </c>
      <c r="E4" s="30" t="s">
        <v>11</v>
      </c>
      <c r="F4" s="30" t="s">
        <v>256</v>
      </c>
      <c r="G4" s="115" t="s">
        <v>261</v>
      </c>
      <c r="H4" s="29"/>
      <c r="I4" s="29"/>
      <c r="J4" s="29"/>
      <c r="K4" s="117" t="s">
        <v>260</v>
      </c>
      <c r="L4" s="282"/>
      <c r="M4" s="29" t="s">
        <v>3</v>
      </c>
      <c r="N4" s="29" t="s">
        <v>4</v>
      </c>
      <c r="O4" s="29" t="s">
        <v>6</v>
      </c>
      <c r="P4" s="32" t="s">
        <v>260</v>
      </c>
      <c r="Q4" s="29" t="s">
        <v>3</v>
      </c>
      <c r="R4" s="29" t="s">
        <v>4</v>
      </c>
      <c r="S4" s="29" t="s">
        <v>6</v>
      </c>
      <c r="T4" s="32" t="s">
        <v>260</v>
      </c>
      <c r="U4" s="29" t="s">
        <v>5</v>
      </c>
      <c r="V4" s="29" t="s">
        <v>4</v>
      </c>
      <c r="W4" s="3"/>
      <c r="X4" s="3"/>
    </row>
    <row r="5" spans="1:29" s="34" customFormat="1" ht="18.75" x14ac:dyDescent="0.4">
      <c r="A5" s="33" t="s">
        <v>254</v>
      </c>
      <c r="C5" s="35"/>
      <c r="D5" s="36"/>
      <c r="E5" s="36"/>
      <c r="F5" s="36"/>
      <c r="G5" s="36"/>
      <c r="H5" s="35"/>
      <c r="I5" s="35"/>
      <c r="J5" s="75"/>
      <c r="K5" s="118"/>
      <c r="L5" s="81"/>
      <c r="M5" s="35"/>
      <c r="N5" s="35"/>
      <c r="O5" s="75"/>
      <c r="P5" s="38"/>
      <c r="Q5" s="35"/>
      <c r="R5" s="35"/>
      <c r="S5" s="75"/>
      <c r="T5" s="38"/>
      <c r="U5" s="35"/>
      <c r="V5" s="35"/>
    </row>
    <row r="6" spans="1:29" s="46" customFormat="1" x14ac:dyDescent="0.25">
      <c r="A6" s="39" t="s">
        <v>245</v>
      </c>
      <c r="B6" s="40" t="s">
        <v>189</v>
      </c>
      <c r="C6" s="41" t="s">
        <v>190</v>
      </c>
      <c r="D6" s="42">
        <v>45078</v>
      </c>
      <c r="E6" s="42">
        <v>45443</v>
      </c>
      <c r="F6" s="42">
        <f>((D6+E6)/2)</f>
        <v>45260.5</v>
      </c>
      <c r="G6" s="112">
        <f>_xlfn.XLOOKUP(F6,'A-6 CMS Market Basket Index '!$AZ$3:$AZ$8,'A-6 CMS Market Basket Index '!$BF$3:$BF$8)</f>
        <v>1.0366</v>
      </c>
      <c r="H6" s="43">
        <f t="shared" ref="H6:H37" si="0">IFERROR(M6+Q6,0)</f>
        <v>18023</v>
      </c>
      <c r="I6" s="44">
        <f t="shared" ref="I6:I37" si="1">IFERROR(N6+R6,0)</f>
        <v>779</v>
      </c>
      <c r="J6" s="65">
        <f t="shared" ref="J6:J37" si="2">IFERROR(H6/I6,"")</f>
        <v>23.13607188703466</v>
      </c>
      <c r="K6" s="76">
        <f t="shared" ref="K6:K37" si="3">IF(J6="","",J6*$G6)</f>
        <v>23.982852118100126</v>
      </c>
      <c r="L6" s="51" t="str">
        <f>IF($K$96&lt;0,"",IF(K6&lt;$K$96,"OL",""))</f>
        <v/>
      </c>
      <c r="M6" s="44">
        <v>17956</v>
      </c>
      <c r="N6" s="44">
        <v>778</v>
      </c>
      <c r="O6" s="65">
        <v>23.08</v>
      </c>
      <c r="P6" s="51">
        <f t="shared" ref="P6:P37" si="4">IF(O6="","",O6*$G6)</f>
        <v>23.924727999999998</v>
      </c>
      <c r="Q6" s="44">
        <v>67</v>
      </c>
      <c r="R6" s="44">
        <v>1</v>
      </c>
      <c r="S6" s="65">
        <v>67</v>
      </c>
      <c r="T6" s="51">
        <f t="shared" ref="T6:T37" si="5">IF(S6="","",S6*$G6)</f>
        <v>69.452200000000005</v>
      </c>
      <c r="U6" s="46" t="s">
        <v>191</v>
      </c>
      <c r="V6" s="46">
        <v>84317</v>
      </c>
      <c r="W6" s="69" t="s">
        <v>224</v>
      </c>
      <c r="X6" s="70" t="s">
        <v>213</v>
      </c>
      <c r="Z6" s="47"/>
      <c r="AA6" s="267"/>
      <c r="AB6" s="48"/>
      <c r="AC6" s="48"/>
    </row>
    <row r="7" spans="1:29" s="46" customFormat="1" x14ac:dyDescent="0.25">
      <c r="A7" s="39" t="s">
        <v>245</v>
      </c>
      <c r="B7" s="40" t="s">
        <v>123</v>
      </c>
      <c r="C7" s="41" t="s">
        <v>124</v>
      </c>
      <c r="D7" s="42">
        <v>44927</v>
      </c>
      <c r="E7" s="42">
        <v>45291</v>
      </c>
      <c r="F7" s="42">
        <f t="shared" ref="F7:F12" si="6">((D7+E7)/2)-2</f>
        <v>45107</v>
      </c>
      <c r="G7" s="112">
        <f>_xlfn.XLOOKUP(F7,'A-6 CMS Market Basket Index '!$AZ$3:$AZ$8,'A-6 CMS Market Basket Index '!$BF$3:$BF$8)</f>
        <v>1.0538000000000001</v>
      </c>
      <c r="H7" s="43">
        <f t="shared" si="0"/>
        <v>58786</v>
      </c>
      <c r="I7" s="44">
        <f t="shared" si="1"/>
        <v>881</v>
      </c>
      <c r="J7" s="65">
        <f t="shared" si="2"/>
        <v>66.726447219069243</v>
      </c>
      <c r="K7" s="76">
        <f t="shared" si="3"/>
        <v>70.31633007945517</v>
      </c>
      <c r="L7" s="51" t="str">
        <f t="shared" ref="L7:L13" si="7">IF($K$96&lt;0,"",IF(K7&lt;$K$96,"OL",""))</f>
        <v/>
      </c>
      <c r="M7" s="44">
        <v>45894</v>
      </c>
      <c r="N7" s="44">
        <v>657</v>
      </c>
      <c r="O7" s="65">
        <v>69.849999999999994</v>
      </c>
      <c r="P7" s="51">
        <f t="shared" si="4"/>
        <v>73.607929999999996</v>
      </c>
      <c r="Q7" s="44">
        <v>12892</v>
      </c>
      <c r="R7" s="44">
        <v>224</v>
      </c>
      <c r="S7" s="65">
        <v>57.55</v>
      </c>
      <c r="T7" s="51">
        <f t="shared" si="5"/>
        <v>60.646190000000004</v>
      </c>
      <c r="U7" s="46" t="s">
        <v>23</v>
      </c>
      <c r="V7" s="46">
        <v>84088</v>
      </c>
      <c r="W7" s="69" t="s">
        <v>218</v>
      </c>
      <c r="X7" s="70" t="s">
        <v>209</v>
      </c>
      <c r="Z7" s="47"/>
      <c r="AA7" s="267"/>
      <c r="AB7" s="48"/>
      <c r="AC7" s="48"/>
    </row>
    <row r="8" spans="1:29" s="46" customFormat="1" x14ac:dyDescent="0.25">
      <c r="A8" s="39" t="s">
        <v>245</v>
      </c>
      <c r="B8" s="40" t="s">
        <v>175</v>
      </c>
      <c r="C8" s="41" t="s">
        <v>176</v>
      </c>
      <c r="D8" s="42">
        <v>44927</v>
      </c>
      <c r="E8" s="42">
        <v>45291</v>
      </c>
      <c r="F8" s="42">
        <f t="shared" si="6"/>
        <v>45107</v>
      </c>
      <c r="G8" s="112">
        <f>_xlfn.XLOOKUP(F8,'A-6 CMS Market Basket Index '!$AZ$3:$AZ$8,'A-6 CMS Market Basket Index '!$BF$3:$BF$8)</f>
        <v>1.0538000000000001</v>
      </c>
      <c r="H8" s="43">
        <f t="shared" si="0"/>
        <v>43682</v>
      </c>
      <c r="I8" s="44">
        <f t="shared" si="1"/>
        <v>591</v>
      </c>
      <c r="J8" s="65">
        <f t="shared" si="2"/>
        <v>73.912013536379021</v>
      </c>
      <c r="K8" s="76">
        <f t="shared" si="3"/>
        <v>77.888479864636224</v>
      </c>
      <c r="L8" s="51" t="str">
        <f t="shared" si="7"/>
        <v/>
      </c>
      <c r="M8" s="44">
        <v>43682</v>
      </c>
      <c r="N8" s="44">
        <v>591</v>
      </c>
      <c r="O8" s="65">
        <v>73.91</v>
      </c>
      <c r="P8" s="51">
        <f t="shared" si="4"/>
        <v>77.886358000000001</v>
      </c>
      <c r="Q8" s="44"/>
      <c r="R8" s="44"/>
      <c r="S8" s="65"/>
      <c r="T8" s="51" t="str">
        <f t="shared" si="5"/>
        <v/>
      </c>
      <c r="U8" s="46" t="s">
        <v>177</v>
      </c>
      <c r="V8" s="46">
        <v>84332</v>
      </c>
      <c r="W8" s="69" t="s">
        <v>210</v>
      </c>
      <c r="X8" s="70" t="s">
        <v>209</v>
      </c>
      <c r="Z8" s="47"/>
      <c r="AA8" s="267"/>
      <c r="AB8" s="48"/>
      <c r="AC8" s="48"/>
    </row>
    <row r="9" spans="1:29" s="46" customFormat="1" x14ac:dyDescent="0.25">
      <c r="A9" s="39" t="s">
        <v>245</v>
      </c>
      <c r="B9" s="40" t="s">
        <v>81</v>
      </c>
      <c r="C9" s="41" t="s">
        <v>82</v>
      </c>
      <c r="D9" s="42">
        <v>44927</v>
      </c>
      <c r="E9" s="42">
        <v>45291</v>
      </c>
      <c r="F9" s="42">
        <f t="shared" si="6"/>
        <v>45107</v>
      </c>
      <c r="G9" s="112">
        <f>_xlfn.XLOOKUP(F9,'A-6 CMS Market Basket Index '!$AZ$3:$AZ$8,'A-6 CMS Market Basket Index '!$BF$3:$BF$8)</f>
        <v>1.0538000000000001</v>
      </c>
      <c r="H9" s="43">
        <f t="shared" si="0"/>
        <v>3163973</v>
      </c>
      <c r="I9" s="44">
        <f t="shared" si="1"/>
        <v>42091</v>
      </c>
      <c r="J9" s="65">
        <f t="shared" si="2"/>
        <v>75.169822527381157</v>
      </c>
      <c r="K9" s="76">
        <f t="shared" si="3"/>
        <v>79.213958979354274</v>
      </c>
      <c r="L9" s="51" t="str">
        <f t="shared" si="7"/>
        <v/>
      </c>
      <c r="M9" s="44">
        <v>3053679</v>
      </c>
      <c r="N9" s="44">
        <v>30605</v>
      </c>
      <c r="O9" s="65">
        <v>99.78</v>
      </c>
      <c r="P9" s="51">
        <f t="shared" si="4"/>
        <v>105.14816400000001</v>
      </c>
      <c r="Q9" s="44">
        <v>110294</v>
      </c>
      <c r="R9" s="44">
        <v>11486</v>
      </c>
      <c r="S9" s="65">
        <v>9.6</v>
      </c>
      <c r="T9" s="51">
        <f t="shared" si="5"/>
        <v>10.116480000000001</v>
      </c>
      <c r="U9" s="46" t="s">
        <v>83</v>
      </c>
      <c r="V9" s="46">
        <v>84041</v>
      </c>
      <c r="W9" s="69" t="s">
        <v>212</v>
      </c>
      <c r="X9" s="70" t="s">
        <v>213</v>
      </c>
      <c r="Z9" s="47"/>
      <c r="AA9" s="267"/>
      <c r="AB9" s="48"/>
      <c r="AC9" s="48"/>
    </row>
    <row r="10" spans="1:29" s="46" customFormat="1" x14ac:dyDescent="0.25">
      <c r="A10" s="39" t="s">
        <v>245</v>
      </c>
      <c r="B10" s="40" t="s">
        <v>131</v>
      </c>
      <c r="C10" s="41" t="s">
        <v>130</v>
      </c>
      <c r="D10" s="42">
        <v>44927</v>
      </c>
      <c r="E10" s="42">
        <v>45291</v>
      </c>
      <c r="F10" s="42">
        <f t="shared" si="6"/>
        <v>45107</v>
      </c>
      <c r="G10" s="112">
        <f>_xlfn.XLOOKUP(F10,'A-6 CMS Market Basket Index '!$AZ$3:$AZ$8,'A-6 CMS Market Basket Index '!$BF$3:$BF$8)</f>
        <v>1.0538000000000001</v>
      </c>
      <c r="H10" s="43">
        <f t="shared" si="0"/>
        <v>400095</v>
      </c>
      <c r="I10" s="44">
        <f t="shared" si="1"/>
        <v>5283</v>
      </c>
      <c r="J10" s="65">
        <f t="shared" si="2"/>
        <v>75.732538330494037</v>
      </c>
      <c r="K10" s="76">
        <f t="shared" si="3"/>
        <v>79.806948892674626</v>
      </c>
      <c r="L10" s="51" t="str">
        <f t="shared" si="7"/>
        <v/>
      </c>
      <c r="M10" s="44">
        <v>189278</v>
      </c>
      <c r="N10" s="44">
        <v>3610</v>
      </c>
      <c r="O10" s="65">
        <v>52.43</v>
      </c>
      <c r="P10" s="51">
        <f t="shared" si="4"/>
        <v>55.250734000000001</v>
      </c>
      <c r="Q10" s="44">
        <v>210817</v>
      </c>
      <c r="R10" s="44">
        <v>1673</v>
      </c>
      <c r="S10" s="65">
        <v>126.01</v>
      </c>
      <c r="T10" s="51">
        <f t="shared" si="5"/>
        <v>132.78933800000001</v>
      </c>
      <c r="U10" s="46" t="s">
        <v>48</v>
      </c>
      <c r="V10" s="46">
        <v>84107</v>
      </c>
      <c r="W10" s="69" t="s">
        <v>218</v>
      </c>
      <c r="X10" s="70" t="s">
        <v>209</v>
      </c>
      <c r="Z10" s="47"/>
      <c r="AA10" s="267"/>
      <c r="AB10" s="48"/>
      <c r="AC10" s="48"/>
    </row>
    <row r="11" spans="1:29" s="46" customFormat="1" x14ac:dyDescent="0.25">
      <c r="A11" s="39" t="s">
        <v>245</v>
      </c>
      <c r="B11" s="40" t="s">
        <v>77</v>
      </c>
      <c r="C11" s="41" t="s">
        <v>75</v>
      </c>
      <c r="D11" s="42">
        <v>44927</v>
      </c>
      <c r="E11" s="42">
        <v>45291</v>
      </c>
      <c r="F11" s="42">
        <f t="shared" si="6"/>
        <v>45107</v>
      </c>
      <c r="G11" s="112">
        <f>_xlfn.XLOOKUP(F11,'A-6 CMS Market Basket Index '!$AZ$3:$AZ$8,'A-6 CMS Market Basket Index '!$BF$3:$BF$8)</f>
        <v>1.0538000000000001</v>
      </c>
      <c r="H11" s="43">
        <f t="shared" si="0"/>
        <v>358531</v>
      </c>
      <c r="I11" s="44">
        <f t="shared" si="1"/>
        <v>4205</v>
      </c>
      <c r="J11" s="65">
        <f t="shared" si="2"/>
        <v>85.263020214030917</v>
      </c>
      <c r="K11" s="76">
        <f t="shared" si="3"/>
        <v>89.850170701545792</v>
      </c>
      <c r="L11" s="51" t="str">
        <f t="shared" si="7"/>
        <v/>
      </c>
      <c r="M11" s="44">
        <v>358531</v>
      </c>
      <c r="N11" s="44">
        <v>4205</v>
      </c>
      <c r="O11" s="65">
        <v>85.26</v>
      </c>
      <c r="P11" s="51">
        <f t="shared" si="4"/>
        <v>89.84698800000001</v>
      </c>
      <c r="Q11" s="44"/>
      <c r="R11" s="44"/>
      <c r="S11" s="65"/>
      <c r="T11" s="51" t="str">
        <f t="shared" si="5"/>
        <v/>
      </c>
      <c r="U11" s="46" t="s">
        <v>76</v>
      </c>
      <c r="V11" s="46">
        <v>84123</v>
      </c>
      <c r="W11" s="69" t="s">
        <v>218</v>
      </c>
      <c r="X11" s="70" t="s">
        <v>209</v>
      </c>
      <c r="Z11" s="47"/>
      <c r="AA11" s="267"/>
      <c r="AB11" s="48"/>
      <c r="AC11" s="48"/>
    </row>
    <row r="12" spans="1:29" s="46" customFormat="1" x14ac:dyDescent="0.25">
      <c r="A12" s="39" t="s">
        <v>245</v>
      </c>
      <c r="B12" s="40" t="s">
        <v>140</v>
      </c>
      <c r="C12" s="41" t="s">
        <v>141</v>
      </c>
      <c r="D12" s="42">
        <v>44927</v>
      </c>
      <c r="E12" s="42">
        <v>45291</v>
      </c>
      <c r="F12" s="42">
        <f t="shared" si="6"/>
        <v>45107</v>
      </c>
      <c r="G12" s="112">
        <f>_xlfn.XLOOKUP(F12,'A-6 CMS Market Basket Index '!$AZ$3:$AZ$8,'A-6 CMS Market Basket Index '!$BF$3:$BF$8)</f>
        <v>1.0538000000000001</v>
      </c>
      <c r="H12" s="43">
        <f t="shared" si="0"/>
        <v>431486</v>
      </c>
      <c r="I12" s="44">
        <f t="shared" si="1"/>
        <v>4620</v>
      </c>
      <c r="J12" s="65">
        <f t="shared" si="2"/>
        <v>93.395238095238099</v>
      </c>
      <c r="K12" s="76">
        <f t="shared" si="3"/>
        <v>98.419901904761915</v>
      </c>
      <c r="L12" s="51" t="str">
        <f t="shared" si="7"/>
        <v/>
      </c>
      <c r="M12" s="44">
        <v>382127</v>
      </c>
      <c r="N12" s="44">
        <v>3710</v>
      </c>
      <c r="O12" s="65">
        <v>103</v>
      </c>
      <c r="P12" s="51">
        <f t="shared" si="4"/>
        <v>108.54140000000001</v>
      </c>
      <c r="Q12" s="44">
        <v>49359</v>
      </c>
      <c r="R12" s="44">
        <v>910</v>
      </c>
      <c r="S12" s="65">
        <v>54.24</v>
      </c>
      <c r="T12" s="51">
        <f t="shared" si="5"/>
        <v>57.158112000000003</v>
      </c>
      <c r="U12" s="46" t="s">
        <v>142</v>
      </c>
      <c r="V12" s="46">
        <v>84663</v>
      </c>
      <c r="W12" s="69" t="s">
        <v>15</v>
      </c>
      <c r="X12" s="70" t="s">
        <v>213</v>
      </c>
      <c r="Z12" s="47"/>
      <c r="AA12" s="267"/>
      <c r="AB12" s="48"/>
      <c r="AC12" s="48"/>
    </row>
    <row r="13" spans="1:29" s="46" customFormat="1" x14ac:dyDescent="0.25">
      <c r="A13" s="39" t="s">
        <v>245</v>
      </c>
      <c r="B13" s="40" t="s">
        <v>174</v>
      </c>
      <c r="C13" s="41" t="s">
        <v>164</v>
      </c>
      <c r="D13" s="42">
        <v>44911</v>
      </c>
      <c r="E13" s="42">
        <v>45291</v>
      </c>
      <c r="F13" s="42">
        <f>((D13+E13)/2)+6</f>
        <v>45107</v>
      </c>
      <c r="G13" s="112">
        <f>_xlfn.XLOOKUP(F13,'A-6 CMS Market Basket Index '!$AZ$3:$AZ$8,'A-6 CMS Market Basket Index '!$BF$3:$BF$8)</f>
        <v>1.0538000000000001</v>
      </c>
      <c r="H13" s="43">
        <f t="shared" si="0"/>
        <v>106968</v>
      </c>
      <c r="I13" s="44">
        <f t="shared" si="1"/>
        <v>1126</v>
      </c>
      <c r="J13" s="65">
        <f t="shared" si="2"/>
        <v>94.99822380106572</v>
      </c>
      <c r="K13" s="76">
        <f t="shared" si="3"/>
        <v>100.10912824156306</v>
      </c>
      <c r="L13" s="51" t="str">
        <f t="shared" si="7"/>
        <v/>
      </c>
      <c r="M13" s="44">
        <v>106968</v>
      </c>
      <c r="N13" s="44">
        <v>1126</v>
      </c>
      <c r="O13" s="65">
        <v>95</v>
      </c>
      <c r="P13" s="51">
        <f t="shared" si="4"/>
        <v>100.111</v>
      </c>
      <c r="Q13" s="44"/>
      <c r="R13" s="44"/>
      <c r="S13" s="65"/>
      <c r="T13" s="51" t="str">
        <f t="shared" si="5"/>
        <v/>
      </c>
      <c r="U13" s="46" t="s">
        <v>112</v>
      </c>
      <c r="V13" s="46">
        <v>84043</v>
      </c>
      <c r="W13" s="69" t="s">
        <v>15</v>
      </c>
      <c r="X13" s="70" t="s">
        <v>213</v>
      </c>
      <c r="Z13" s="47"/>
      <c r="AA13" s="267"/>
      <c r="AB13" s="48"/>
      <c r="AC13" s="48"/>
    </row>
    <row r="14" spans="1:29" s="46" customFormat="1" x14ac:dyDescent="0.25">
      <c r="A14" s="39" t="s">
        <v>245</v>
      </c>
      <c r="B14" s="40" t="s">
        <v>71</v>
      </c>
      <c r="C14" s="41" t="s">
        <v>72</v>
      </c>
      <c r="D14" s="42">
        <v>44927</v>
      </c>
      <c r="E14" s="42">
        <v>45291</v>
      </c>
      <c r="F14" s="42">
        <f t="shared" ref="F14:F36" si="8">((D14+E14)/2)-2</f>
        <v>45107</v>
      </c>
      <c r="G14" s="112">
        <f>_xlfn.XLOOKUP(F14,'A-6 CMS Market Basket Index '!$AZ$3:$AZ$8,'A-6 CMS Market Basket Index '!$BF$3:$BF$8)</f>
        <v>1.0538000000000001</v>
      </c>
      <c r="H14" s="43">
        <f t="shared" si="0"/>
        <v>768474</v>
      </c>
      <c r="I14" s="44">
        <f t="shared" si="1"/>
        <v>7948</v>
      </c>
      <c r="J14" s="65">
        <f t="shared" si="2"/>
        <v>96.687720181177653</v>
      </c>
      <c r="K14" s="76">
        <f t="shared" si="3"/>
        <v>101.88951952692501</v>
      </c>
      <c r="L14" s="51"/>
      <c r="M14" s="44">
        <v>768474</v>
      </c>
      <c r="N14" s="44">
        <v>7948</v>
      </c>
      <c r="O14" s="65">
        <v>96.69</v>
      </c>
      <c r="P14" s="51">
        <f t="shared" si="4"/>
        <v>101.89192200000001</v>
      </c>
      <c r="Q14" s="44"/>
      <c r="R14" s="44"/>
      <c r="S14" s="65"/>
      <c r="T14" s="51" t="str">
        <f t="shared" si="5"/>
        <v/>
      </c>
      <c r="U14" s="46" t="s">
        <v>17</v>
      </c>
      <c r="V14" s="46">
        <v>84057</v>
      </c>
      <c r="W14" s="69" t="s">
        <v>15</v>
      </c>
      <c r="X14" s="70" t="s">
        <v>213</v>
      </c>
      <c r="Z14" s="47"/>
      <c r="AA14" s="267"/>
      <c r="AB14" s="48"/>
      <c r="AC14" s="48"/>
    </row>
    <row r="15" spans="1:29" s="46" customFormat="1" x14ac:dyDescent="0.25">
      <c r="A15" s="39" t="s">
        <v>245</v>
      </c>
      <c r="B15" s="40" t="s">
        <v>134</v>
      </c>
      <c r="C15" s="41" t="s">
        <v>135</v>
      </c>
      <c r="D15" s="42">
        <v>44927</v>
      </c>
      <c r="E15" s="42">
        <v>45291</v>
      </c>
      <c r="F15" s="42">
        <f t="shared" si="8"/>
        <v>45107</v>
      </c>
      <c r="G15" s="112">
        <f>_xlfn.XLOOKUP(F15,'A-6 CMS Market Basket Index '!$AZ$3:$AZ$8,'A-6 CMS Market Basket Index '!$BF$3:$BF$8)</f>
        <v>1.0538000000000001</v>
      </c>
      <c r="H15" s="43">
        <f t="shared" si="0"/>
        <v>171367</v>
      </c>
      <c r="I15" s="44">
        <f t="shared" si="1"/>
        <v>1729</v>
      </c>
      <c r="J15" s="65">
        <f t="shared" si="2"/>
        <v>99.113360323886639</v>
      </c>
      <c r="K15" s="76">
        <f t="shared" si="3"/>
        <v>104.44565910931175</v>
      </c>
      <c r="L15" s="51"/>
      <c r="M15" s="44">
        <v>125804</v>
      </c>
      <c r="N15" s="44">
        <v>1075</v>
      </c>
      <c r="O15" s="65">
        <v>117.03</v>
      </c>
      <c r="P15" s="51">
        <f t="shared" si="4"/>
        <v>123.32621400000001</v>
      </c>
      <c r="Q15" s="44">
        <v>45563</v>
      </c>
      <c r="R15" s="44">
        <v>654</v>
      </c>
      <c r="S15" s="65">
        <v>69.67</v>
      </c>
      <c r="T15" s="51">
        <f t="shared" si="5"/>
        <v>73.418246000000011</v>
      </c>
      <c r="U15" s="46" t="s">
        <v>17</v>
      </c>
      <c r="V15" s="46">
        <v>84057</v>
      </c>
      <c r="W15" s="69" t="s">
        <v>15</v>
      </c>
      <c r="X15" s="70" t="s">
        <v>213</v>
      </c>
      <c r="Z15" s="47"/>
      <c r="AA15" s="267"/>
      <c r="AB15" s="48"/>
      <c r="AC15" s="48"/>
    </row>
    <row r="16" spans="1:29" s="46" customFormat="1" x14ac:dyDescent="0.25">
      <c r="A16" s="39" t="s">
        <v>245</v>
      </c>
      <c r="B16" s="40" t="s">
        <v>165</v>
      </c>
      <c r="C16" s="41" t="s">
        <v>166</v>
      </c>
      <c r="D16" s="42">
        <v>44927</v>
      </c>
      <c r="E16" s="42">
        <v>45291</v>
      </c>
      <c r="F16" s="42">
        <f t="shared" si="8"/>
        <v>45107</v>
      </c>
      <c r="G16" s="112">
        <f>_xlfn.XLOOKUP(F16,'A-6 CMS Market Basket Index '!$AZ$3:$AZ$8,'A-6 CMS Market Basket Index '!$BF$3:$BF$8)</f>
        <v>1.0538000000000001</v>
      </c>
      <c r="H16" s="43">
        <f t="shared" si="0"/>
        <v>6807</v>
      </c>
      <c r="I16" s="44">
        <f t="shared" si="1"/>
        <v>67</v>
      </c>
      <c r="J16" s="65">
        <f t="shared" si="2"/>
        <v>101.59701492537313</v>
      </c>
      <c r="K16" s="76">
        <f t="shared" si="3"/>
        <v>107.06293432835821</v>
      </c>
      <c r="L16" s="51"/>
      <c r="M16" s="44">
        <v>6207</v>
      </c>
      <c r="N16" s="44">
        <v>61</v>
      </c>
      <c r="O16" s="65">
        <v>101.75</v>
      </c>
      <c r="P16" s="51">
        <f t="shared" si="4"/>
        <v>107.22415000000001</v>
      </c>
      <c r="Q16" s="44">
        <v>600</v>
      </c>
      <c r="R16" s="44">
        <v>6</v>
      </c>
      <c r="S16" s="65">
        <v>100</v>
      </c>
      <c r="T16" s="51">
        <f t="shared" si="5"/>
        <v>105.38000000000001</v>
      </c>
      <c r="U16" s="46" t="s">
        <v>42</v>
      </c>
      <c r="V16" s="46">
        <v>84093</v>
      </c>
      <c r="W16" s="69" t="s">
        <v>218</v>
      </c>
      <c r="X16" s="70" t="s">
        <v>209</v>
      </c>
      <c r="Z16" s="47"/>
      <c r="AA16" s="267"/>
      <c r="AB16" s="48"/>
      <c r="AC16" s="48"/>
    </row>
    <row r="17" spans="1:29" s="46" customFormat="1" x14ac:dyDescent="0.25">
      <c r="A17" s="39" t="s">
        <v>245</v>
      </c>
      <c r="B17" s="40" t="s">
        <v>132</v>
      </c>
      <c r="C17" s="41" t="s">
        <v>91</v>
      </c>
      <c r="D17" s="42">
        <v>44927</v>
      </c>
      <c r="E17" s="42">
        <v>45291</v>
      </c>
      <c r="F17" s="42">
        <f t="shared" si="8"/>
        <v>45107</v>
      </c>
      <c r="G17" s="112">
        <f>_xlfn.XLOOKUP(F17,'A-6 CMS Market Basket Index '!$AZ$3:$AZ$8,'A-6 CMS Market Basket Index '!$BF$3:$BF$8)</f>
        <v>1.0538000000000001</v>
      </c>
      <c r="H17" s="43">
        <f t="shared" si="0"/>
        <v>5048412</v>
      </c>
      <c r="I17" s="44">
        <f t="shared" si="1"/>
        <v>49536</v>
      </c>
      <c r="J17" s="65">
        <f t="shared" si="2"/>
        <v>101.91400193798449</v>
      </c>
      <c r="K17" s="76">
        <f t="shared" si="3"/>
        <v>107.39697524224806</v>
      </c>
      <c r="L17" s="51"/>
      <c r="M17" s="44">
        <v>3009512</v>
      </c>
      <c r="N17" s="44">
        <v>24102</v>
      </c>
      <c r="O17" s="65">
        <v>124.87</v>
      </c>
      <c r="P17" s="51">
        <f t="shared" si="4"/>
        <v>131.58800600000001</v>
      </c>
      <c r="Q17" s="44">
        <v>2038900</v>
      </c>
      <c r="R17" s="44">
        <v>25434</v>
      </c>
      <c r="S17" s="65">
        <v>80.16</v>
      </c>
      <c r="T17" s="51">
        <f t="shared" si="5"/>
        <v>84.472608000000008</v>
      </c>
      <c r="U17" s="46" t="s">
        <v>48</v>
      </c>
      <c r="V17" s="46">
        <v>84107</v>
      </c>
      <c r="W17" s="69" t="s">
        <v>218</v>
      </c>
      <c r="X17" s="70" t="s">
        <v>209</v>
      </c>
      <c r="Z17" s="47"/>
      <c r="AA17" s="267"/>
      <c r="AB17" s="48"/>
      <c r="AC17" s="48"/>
    </row>
    <row r="18" spans="1:29" s="46" customFormat="1" x14ac:dyDescent="0.25">
      <c r="A18" s="39" t="s">
        <v>245</v>
      </c>
      <c r="B18" s="40" t="s">
        <v>133</v>
      </c>
      <c r="C18" s="41" t="s">
        <v>92</v>
      </c>
      <c r="D18" s="42">
        <v>44927</v>
      </c>
      <c r="E18" s="42">
        <v>45291</v>
      </c>
      <c r="F18" s="42">
        <f t="shared" si="8"/>
        <v>45107</v>
      </c>
      <c r="G18" s="112">
        <f>_xlfn.XLOOKUP(F18,'A-6 CMS Market Basket Index '!$AZ$3:$AZ$8,'A-6 CMS Market Basket Index '!$BF$3:$BF$8)</f>
        <v>1.0538000000000001</v>
      </c>
      <c r="H18" s="43">
        <f t="shared" si="0"/>
        <v>413232</v>
      </c>
      <c r="I18" s="44">
        <f t="shared" si="1"/>
        <v>3919</v>
      </c>
      <c r="J18" s="65">
        <f t="shared" si="2"/>
        <v>105.44322531257974</v>
      </c>
      <c r="K18" s="76">
        <f t="shared" si="3"/>
        <v>111.11607083439654</v>
      </c>
      <c r="L18" s="51"/>
      <c r="M18" s="44">
        <v>354519</v>
      </c>
      <c r="N18" s="44">
        <v>3167</v>
      </c>
      <c r="O18" s="65">
        <v>111.94</v>
      </c>
      <c r="P18" s="51">
        <f t="shared" si="4"/>
        <v>117.962372</v>
      </c>
      <c r="Q18" s="44">
        <v>58713</v>
      </c>
      <c r="R18" s="44">
        <v>752</v>
      </c>
      <c r="S18" s="65">
        <v>78.08</v>
      </c>
      <c r="T18" s="51">
        <f t="shared" si="5"/>
        <v>82.280704</v>
      </c>
      <c r="U18" s="46" t="s">
        <v>52</v>
      </c>
      <c r="V18" s="46">
        <v>84790</v>
      </c>
      <c r="W18" s="69" t="s">
        <v>223</v>
      </c>
      <c r="X18" s="70" t="s">
        <v>209</v>
      </c>
      <c r="Z18" s="47"/>
      <c r="AA18" s="267"/>
      <c r="AB18" s="48"/>
      <c r="AC18" s="48"/>
    </row>
    <row r="19" spans="1:29" s="46" customFormat="1" x14ac:dyDescent="0.25">
      <c r="A19" s="39" t="s">
        <v>245</v>
      </c>
      <c r="B19" s="40" t="s">
        <v>147</v>
      </c>
      <c r="C19" s="41" t="s">
        <v>148</v>
      </c>
      <c r="D19" s="42">
        <v>44927</v>
      </c>
      <c r="E19" s="42">
        <v>45291</v>
      </c>
      <c r="F19" s="42">
        <f t="shared" si="8"/>
        <v>45107</v>
      </c>
      <c r="G19" s="112">
        <f>_xlfn.XLOOKUP(F19,'A-6 CMS Market Basket Index '!$AZ$3:$AZ$8,'A-6 CMS Market Basket Index '!$BF$3:$BF$8)</f>
        <v>1.0538000000000001</v>
      </c>
      <c r="H19" s="43">
        <f t="shared" si="0"/>
        <v>106027</v>
      </c>
      <c r="I19" s="44">
        <f t="shared" si="1"/>
        <v>998</v>
      </c>
      <c r="J19" s="65">
        <f t="shared" si="2"/>
        <v>106.23947895791584</v>
      </c>
      <c r="K19" s="76">
        <f t="shared" si="3"/>
        <v>111.95516292585171</v>
      </c>
      <c r="L19" s="51"/>
      <c r="M19" s="44">
        <v>63993</v>
      </c>
      <c r="N19" s="44">
        <v>591</v>
      </c>
      <c r="O19" s="65">
        <v>108.28</v>
      </c>
      <c r="P19" s="51">
        <f t="shared" si="4"/>
        <v>114.10546400000001</v>
      </c>
      <c r="Q19" s="44">
        <v>42034</v>
      </c>
      <c r="R19" s="44">
        <v>407</v>
      </c>
      <c r="S19" s="65">
        <v>103.28</v>
      </c>
      <c r="T19" s="51">
        <f t="shared" si="5"/>
        <v>108.83646400000001</v>
      </c>
      <c r="U19" s="46" t="s">
        <v>149</v>
      </c>
      <c r="V19" s="46">
        <v>84414</v>
      </c>
      <c r="W19" s="69" t="s">
        <v>224</v>
      </c>
      <c r="X19" s="70" t="s">
        <v>213</v>
      </c>
      <c r="Z19" s="47"/>
      <c r="AA19" s="267"/>
      <c r="AB19" s="48"/>
      <c r="AC19" s="48"/>
    </row>
    <row r="20" spans="1:29" s="46" customFormat="1" x14ac:dyDescent="0.25">
      <c r="A20" s="39" t="s">
        <v>245</v>
      </c>
      <c r="B20" s="40" t="s">
        <v>162</v>
      </c>
      <c r="C20" s="41" t="s">
        <v>163</v>
      </c>
      <c r="D20" s="42">
        <v>44927</v>
      </c>
      <c r="E20" s="42">
        <v>45291</v>
      </c>
      <c r="F20" s="42">
        <f t="shared" si="8"/>
        <v>45107</v>
      </c>
      <c r="G20" s="112">
        <f>_xlfn.XLOOKUP(F20,'A-6 CMS Market Basket Index '!$AZ$3:$AZ$8,'A-6 CMS Market Basket Index '!$BF$3:$BF$8)</f>
        <v>1.0538000000000001</v>
      </c>
      <c r="H20" s="43">
        <f t="shared" si="0"/>
        <v>46331</v>
      </c>
      <c r="I20" s="44">
        <f t="shared" si="1"/>
        <v>433</v>
      </c>
      <c r="J20" s="65">
        <f t="shared" si="2"/>
        <v>107</v>
      </c>
      <c r="K20" s="76">
        <f t="shared" si="3"/>
        <v>112.75660000000001</v>
      </c>
      <c r="L20" s="51"/>
      <c r="M20" s="44">
        <v>46331</v>
      </c>
      <c r="N20" s="44">
        <v>433</v>
      </c>
      <c r="O20" s="65">
        <v>107</v>
      </c>
      <c r="P20" s="51">
        <f t="shared" si="4"/>
        <v>112.75660000000001</v>
      </c>
      <c r="Q20" s="44"/>
      <c r="R20" s="44"/>
      <c r="S20" s="65"/>
      <c r="T20" s="51" t="str">
        <f t="shared" si="5"/>
        <v/>
      </c>
      <c r="U20" s="46" t="s">
        <v>51</v>
      </c>
      <c r="V20" s="46">
        <v>84720</v>
      </c>
      <c r="W20" s="69" t="s">
        <v>216</v>
      </c>
      <c r="X20" s="70" t="s">
        <v>209</v>
      </c>
      <c r="Z20" s="47"/>
      <c r="AA20" s="267"/>
      <c r="AB20" s="48"/>
      <c r="AC20" s="48"/>
    </row>
    <row r="21" spans="1:29" s="46" customFormat="1" x14ac:dyDescent="0.25">
      <c r="A21" s="39" t="s">
        <v>245</v>
      </c>
      <c r="B21" s="40" t="s">
        <v>185</v>
      </c>
      <c r="C21" s="41" t="s">
        <v>186</v>
      </c>
      <c r="D21" s="42">
        <v>44927</v>
      </c>
      <c r="E21" s="42">
        <v>45291</v>
      </c>
      <c r="F21" s="42">
        <f t="shared" si="8"/>
        <v>45107</v>
      </c>
      <c r="G21" s="112">
        <f>_xlfn.XLOOKUP(F21,'A-6 CMS Market Basket Index '!$AZ$3:$AZ$8,'A-6 CMS Market Basket Index '!$BF$3:$BF$8)</f>
        <v>1.0538000000000001</v>
      </c>
      <c r="H21" s="43">
        <f t="shared" si="0"/>
        <v>1391614</v>
      </c>
      <c r="I21" s="44">
        <f t="shared" si="1"/>
        <v>12951</v>
      </c>
      <c r="J21" s="65">
        <f t="shared" si="2"/>
        <v>107.45224307003321</v>
      </c>
      <c r="K21" s="76">
        <f t="shared" si="3"/>
        <v>113.23317374720099</v>
      </c>
      <c r="L21" s="51"/>
      <c r="M21" s="44">
        <v>1086608</v>
      </c>
      <c r="N21" s="44">
        <v>8952</v>
      </c>
      <c r="O21" s="65">
        <v>121.38</v>
      </c>
      <c r="P21" s="51">
        <f t="shared" si="4"/>
        <v>127.91024400000001</v>
      </c>
      <c r="Q21" s="44">
        <v>305006</v>
      </c>
      <c r="R21" s="44">
        <v>3999</v>
      </c>
      <c r="S21" s="65">
        <v>76.27</v>
      </c>
      <c r="T21" s="51">
        <f t="shared" si="5"/>
        <v>80.373326000000006</v>
      </c>
      <c r="U21" s="46" t="s">
        <v>39</v>
      </c>
      <c r="V21" s="46">
        <v>84041</v>
      </c>
      <c r="W21" s="69" t="s">
        <v>212</v>
      </c>
      <c r="X21" s="70" t="s">
        <v>213</v>
      </c>
      <c r="Z21" s="47"/>
      <c r="AA21" s="267"/>
      <c r="AB21" s="48"/>
      <c r="AC21" s="48"/>
    </row>
    <row r="22" spans="1:29" s="46" customFormat="1" x14ac:dyDescent="0.25">
      <c r="A22" s="39" t="s">
        <v>245</v>
      </c>
      <c r="B22" s="40" t="s">
        <v>63</v>
      </c>
      <c r="C22" s="41" t="s">
        <v>64</v>
      </c>
      <c r="D22" s="42">
        <v>44927</v>
      </c>
      <c r="E22" s="42">
        <v>45291</v>
      </c>
      <c r="F22" s="42">
        <f t="shared" si="8"/>
        <v>45107</v>
      </c>
      <c r="G22" s="112">
        <f>_xlfn.XLOOKUP(F22,'A-6 CMS Market Basket Index '!$AZ$3:$AZ$8,'A-6 CMS Market Basket Index '!$BF$3:$BF$8)</f>
        <v>1.0538000000000001</v>
      </c>
      <c r="H22" s="43">
        <f t="shared" si="0"/>
        <v>837140</v>
      </c>
      <c r="I22" s="44">
        <f t="shared" si="1"/>
        <v>7736</v>
      </c>
      <c r="J22" s="65">
        <f t="shared" si="2"/>
        <v>108.21354705274044</v>
      </c>
      <c r="K22" s="76">
        <f t="shared" si="3"/>
        <v>114.03543588417789</v>
      </c>
      <c r="L22" s="51"/>
      <c r="M22" s="44">
        <v>692787</v>
      </c>
      <c r="N22" s="44">
        <v>6130</v>
      </c>
      <c r="O22" s="65">
        <v>113.02</v>
      </c>
      <c r="P22" s="51">
        <f t="shared" si="4"/>
        <v>119.100476</v>
      </c>
      <c r="Q22" s="44">
        <v>144353</v>
      </c>
      <c r="R22" s="44">
        <v>1606</v>
      </c>
      <c r="S22" s="65">
        <v>89.88</v>
      </c>
      <c r="T22" s="51">
        <f t="shared" si="5"/>
        <v>94.715544000000008</v>
      </c>
      <c r="U22" s="46" t="s">
        <v>48</v>
      </c>
      <c r="V22" s="46">
        <v>84107</v>
      </c>
      <c r="W22" s="69" t="s">
        <v>218</v>
      </c>
      <c r="X22" s="70" t="s">
        <v>209</v>
      </c>
      <c r="Z22" s="47"/>
      <c r="AA22" s="267"/>
      <c r="AB22" s="48"/>
      <c r="AC22" s="48"/>
    </row>
    <row r="23" spans="1:29" s="46" customFormat="1" x14ac:dyDescent="0.25">
      <c r="A23" s="39" t="s">
        <v>245</v>
      </c>
      <c r="B23" s="40" t="s">
        <v>109</v>
      </c>
      <c r="C23" s="41" t="s">
        <v>110</v>
      </c>
      <c r="D23" s="42">
        <v>44927</v>
      </c>
      <c r="E23" s="42">
        <v>45291</v>
      </c>
      <c r="F23" s="42">
        <f t="shared" si="8"/>
        <v>45107</v>
      </c>
      <c r="G23" s="112">
        <f>_xlfn.XLOOKUP(F23,'A-6 CMS Market Basket Index '!$AZ$3:$AZ$8,'A-6 CMS Market Basket Index '!$BF$3:$BF$8)</f>
        <v>1.0538000000000001</v>
      </c>
      <c r="H23" s="43">
        <f t="shared" si="0"/>
        <v>79346</v>
      </c>
      <c r="I23" s="44">
        <f t="shared" si="1"/>
        <v>731</v>
      </c>
      <c r="J23" s="65">
        <f t="shared" si="2"/>
        <v>108.54445964432284</v>
      </c>
      <c r="K23" s="76">
        <f t="shared" si="3"/>
        <v>114.38415157318742</v>
      </c>
      <c r="L23" s="51"/>
      <c r="M23" s="44">
        <v>61264</v>
      </c>
      <c r="N23" s="44">
        <v>572</v>
      </c>
      <c r="O23" s="65">
        <v>107.1</v>
      </c>
      <c r="P23" s="51">
        <f t="shared" si="4"/>
        <v>112.86198</v>
      </c>
      <c r="Q23" s="44">
        <v>18082</v>
      </c>
      <c r="R23" s="44">
        <v>159</v>
      </c>
      <c r="S23" s="65">
        <v>113.72</v>
      </c>
      <c r="T23" s="51">
        <f t="shared" si="5"/>
        <v>119.83813600000001</v>
      </c>
      <c r="U23" s="46" t="s">
        <v>44</v>
      </c>
      <c r="V23" s="46">
        <v>84501</v>
      </c>
      <c r="W23" s="69" t="s">
        <v>211</v>
      </c>
      <c r="X23" s="70" t="s">
        <v>209</v>
      </c>
      <c r="Z23" s="47"/>
      <c r="AA23" s="267"/>
      <c r="AB23" s="48"/>
      <c r="AC23" s="48"/>
    </row>
    <row r="24" spans="1:29" s="46" customFormat="1" x14ac:dyDescent="0.25">
      <c r="A24" s="39" t="s">
        <v>245</v>
      </c>
      <c r="B24" s="40" t="s">
        <v>60</v>
      </c>
      <c r="C24" s="41" t="s">
        <v>61</v>
      </c>
      <c r="D24" s="42">
        <v>44927</v>
      </c>
      <c r="E24" s="42">
        <v>45291</v>
      </c>
      <c r="F24" s="42">
        <f t="shared" si="8"/>
        <v>45107</v>
      </c>
      <c r="G24" s="112">
        <f>_xlfn.XLOOKUP(F24,'A-6 CMS Market Basket Index '!$AZ$3:$AZ$8,'A-6 CMS Market Basket Index '!$BF$3:$BF$8)</f>
        <v>1.0538000000000001</v>
      </c>
      <c r="H24" s="43">
        <f t="shared" si="0"/>
        <v>218941</v>
      </c>
      <c r="I24" s="44">
        <f t="shared" si="1"/>
        <v>1961</v>
      </c>
      <c r="J24" s="65">
        <f t="shared" si="2"/>
        <v>111.64762876083631</v>
      </c>
      <c r="K24" s="76">
        <f t="shared" si="3"/>
        <v>117.65427118816932</v>
      </c>
      <c r="L24" s="51"/>
      <c r="M24" s="44">
        <v>198250</v>
      </c>
      <c r="N24" s="44">
        <v>1630</v>
      </c>
      <c r="O24" s="65">
        <v>121.63</v>
      </c>
      <c r="P24" s="51">
        <f t="shared" si="4"/>
        <v>128.17369400000001</v>
      </c>
      <c r="Q24" s="44">
        <v>20691</v>
      </c>
      <c r="R24" s="44">
        <v>331</v>
      </c>
      <c r="S24" s="65">
        <v>62.51</v>
      </c>
      <c r="T24" s="51">
        <f t="shared" si="5"/>
        <v>65.873038000000008</v>
      </c>
      <c r="U24" s="46" t="s">
        <v>62</v>
      </c>
      <c r="V24" s="46">
        <v>84790</v>
      </c>
      <c r="W24" s="69" t="s">
        <v>223</v>
      </c>
      <c r="X24" s="70" t="s">
        <v>209</v>
      </c>
      <c r="Z24" s="47"/>
      <c r="AA24" s="267"/>
      <c r="AB24" s="48"/>
      <c r="AC24" s="48"/>
    </row>
    <row r="25" spans="1:29" s="46" customFormat="1" x14ac:dyDescent="0.25">
      <c r="A25" s="39" t="s">
        <v>245</v>
      </c>
      <c r="B25" s="40" t="s">
        <v>196</v>
      </c>
      <c r="C25" s="41" t="s">
        <v>197</v>
      </c>
      <c r="D25" s="42">
        <v>44927</v>
      </c>
      <c r="E25" s="42">
        <v>45291</v>
      </c>
      <c r="F25" s="42">
        <f t="shared" si="8"/>
        <v>45107</v>
      </c>
      <c r="G25" s="112">
        <f>_xlfn.XLOOKUP(F25,'A-6 CMS Market Basket Index '!$AZ$3:$AZ$8,'A-6 CMS Market Basket Index '!$BF$3:$BF$8)</f>
        <v>1.0538000000000001</v>
      </c>
      <c r="H25" s="43">
        <f t="shared" si="0"/>
        <v>96193</v>
      </c>
      <c r="I25" s="44">
        <f t="shared" si="1"/>
        <v>854</v>
      </c>
      <c r="J25" s="65">
        <f t="shared" si="2"/>
        <v>112.63817330210773</v>
      </c>
      <c r="K25" s="76">
        <f t="shared" si="3"/>
        <v>118.69810702576113</v>
      </c>
      <c r="L25" s="51"/>
      <c r="M25" s="44">
        <v>96193</v>
      </c>
      <c r="N25" s="44">
        <v>854</v>
      </c>
      <c r="O25" s="65">
        <v>112.64</v>
      </c>
      <c r="P25" s="51">
        <f t="shared" si="4"/>
        <v>118.70003200000001</v>
      </c>
      <c r="Q25" s="44"/>
      <c r="R25" s="44"/>
      <c r="S25" s="65"/>
      <c r="T25" s="51" t="str">
        <f t="shared" si="5"/>
        <v/>
      </c>
      <c r="U25" s="46" t="s">
        <v>48</v>
      </c>
      <c r="V25" s="46">
        <v>84107</v>
      </c>
      <c r="W25" s="69" t="s">
        <v>218</v>
      </c>
      <c r="X25" s="70" t="s">
        <v>209</v>
      </c>
      <c r="Z25" s="47"/>
      <c r="AA25" s="267"/>
      <c r="AB25" s="48"/>
      <c r="AC25" s="48"/>
    </row>
    <row r="26" spans="1:29" s="46" customFormat="1" x14ac:dyDescent="0.25">
      <c r="A26" s="39" t="s">
        <v>245</v>
      </c>
      <c r="B26" s="40" t="s">
        <v>179</v>
      </c>
      <c r="C26" s="41" t="s">
        <v>178</v>
      </c>
      <c r="D26" s="42">
        <v>44927</v>
      </c>
      <c r="E26" s="42">
        <v>45291</v>
      </c>
      <c r="F26" s="42">
        <f t="shared" si="8"/>
        <v>45107</v>
      </c>
      <c r="G26" s="112">
        <f>_xlfn.XLOOKUP(F26,'A-6 CMS Market Basket Index '!$AZ$3:$AZ$8,'A-6 CMS Market Basket Index '!$BF$3:$BF$8)</f>
        <v>1.0538000000000001</v>
      </c>
      <c r="H26" s="43">
        <f t="shared" si="0"/>
        <v>117042</v>
      </c>
      <c r="I26" s="44">
        <f t="shared" si="1"/>
        <v>996</v>
      </c>
      <c r="J26" s="65">
        <f t="shared" si="2"/>
        <v>117.51204819277109</v>
      </c>
      <c r="K26" s="76">
        <f t="shared" si="3"/>
        <v>123.83419638554219</v>
      </c>
      <c r="L26" s="51"/>
      <c r="M26" s="44">
        <v>103659</v>
      </c>
      <c r="N26" s="44">
        <v>778</v>
      </c>
      <c r="O26" s="65">
        <v>133.24</v>
      </c>
      <c r="P26" s="51">
        <f t="shared" si="4"/>
        <v>140.40831200000002</v>
      </c>
      <c r="Q26" s="44">
        <v>13383</v>
      </c>
      <c r="R26" s="44">
        <v>218</v>
      </c>
      <c r="S26" s="65">
        <v>61.39</v>
      </c>
      <c r="T26" s="51">
        <f t="shared" si="5"/>
        <v>64.692782000000008</v>
      </c>
      <c r="U26" s="46" t="s">
        <v>18</v>
      </c>
      <c r="V26" s="46">
        <v>84107</v>
      </c>
      <c r="W26" s="69" t="s">
        <v>218</v>
      </c>
      <c r="X26" s="70" t="s">
        <v>209</v>
      </c>
      <c r="Z26" s="47"/>
      <c r="AA26" s="267"/>
      <c r="AB26" s="48"/>
      <c r="AC26" s="48"/>
    </row>
    <row r="27" spans="1:29" s="46" customFormat="1" x14ac:dyDescent="0.25">
      <c r="A27" s="39" t="s">
        <v>245</v>
      </c>
      <c r="B27" s="40" t="s">
        <v>102</v>
      </c>
      <c r="C27" s="41" t="s">
        <v>103</v>
      </c>
      <c r="D27" s="42">
        <v>44927</v>
      </c>
      <c r="E27" s="42">
        <v>45291</v>
      </c>
      <c r="F27" s="42">
        <f t="shared" si="8"/>
        <v>45107</v>
      </c>
      <c r="G27" s="112">
        <f>_xlfn.XLOOKUP(F27,'A-6 CMS Market Basket Index '!$AZ$3:$AZ$8,'A-6 CMS Market Basket Index '!$BF$3:$BF$8)</f>
        <v>1.0538000000000001</v>
      </c>
      <c r="H27" s="43">
        <f t="shared" si="0"/>
        <v>5087835</v>
      </c>
      <c r="I27" s="44">
        <f t="shared" si="1"/>
        <v>42984</v>
      </c>
      <c r="J27" s="65">
        <f t="shared" si="2"/>
        <v>118.36578726968175</v>
      </c>
      <c r="K27" s="76">
        <f t="shared" si="3"/>
        <v>124.73386662479064</v>
      </c>
      <c r="L27" s="51"/>
      <c r="M27" s="44">
        <v>5087835</v>
      </c>
      <c r="N27" s="44">
        <v>42984</v>
      </c>
      <c r="O27" s="65">
        <v>118.37</v>
      </c>
      <c r="P27" s="51">
        <f t="shared" si="4"/>
        <v>124.73830600000001</v>
      </c>
      <c r="Q27" s="44"/>
      <c r="R27" s="44"/>
      <c r="S27" s="65"/>
      <c r="T27" s="51" t="str">
        <f t="shared" si="5"/>
        <v/>
      </c>
      <c r="U27" s="46" t="s">
        <v>104</v>
      </c>
      <c r="V27" s="46">
        <v>84119</v>
      </c>
      <c r="W27" s="69" t="s">
        <v>218</v>
      </c>
      <c r="X27" s="70" t="s">
        <v>209</v>
      </c>
      <c r="Z27" s="47"/>
      <c r="AA27" s="267"/>
      <c r="AB27" s="48"/>
      <c r="AC27" s="48"/>
    </row>
    <row r="28" spans="1:29" s="46" customFormat="1" x14ac:dyDescent="0.25">
      <c r="A28" s="39" t="s">
        <v>245</v>
      </c>
      <c r="B28" s="40" t="s">
        <v>151</v>
      </c>
      <c r="C28" s="41" t="s">
        <v>150</v>
      </c>
      <c r="D28" s="42">
        <v>44927</v>
      </c>
      <c r="E28" s="42">
        <v>45291</v>
      </c>
      <c r="F28" s="42">
        <f t="shared" si="8"/>
        <v>45107</v>
      </c>
      <c r="G28" s="112">
        <f>_xlfn.XLOOKUP(F28,'A-6 CMS Market Basket Index '!$AZ$3:$AZ$8,'A-6 CMS Market Basket Index '!$BF$3:$BF$8)</f>
        <v>1.0538000000000001</v>
      </c>
      <c r="H28" s="43">
        <f t="shared" si="0"/>
        <v>2105475</v>
      </c>
      <c r="I28" s="44">
        <f t="shared" si="1"/>
        <v>16926</v>
      </c>
      <c r="J28" s="65">
        <f t="shared" si="2"/>
        <v>124.3929457639135</v>
      </c>
      <c r="K28" s="76">
        <f t="shared" si="3"/>
        <v>131.08528624601206</v>
      </c>
      <c r="L28" s="51"/>
      <c r="M28" s="44">
        <v>1589935</v>
      </c>
      <c r="N28" s="44">
        <v>9233</v>
      </c>
      <c r="O28" s="65">
        <v>172.2</v>
      </c>
      <c r="P28" s="51">
        <f t="shared" si="4"/>
        <v>181.46436</v>
      </c>
      <c r="Q28" s="44">
        <v>515540</v>
      </c>
      <c r="R28" s="44">
        <v>7693</v>
      </c>
      <c r="S28" s="65">
        <v>67.010000000000005</v>
      </c>
      <c r="T28" s="51">
        <f t="shared" si="5"/>
        <v>70.615138000000016</v>
      </c>
      <c r="U28" s="46" t="s">
        <v>97</v>
      </c>
      <c r="V28" s="46">
        <v>84015</v>
      </c>
      <c r="W28" s="69" t="s">
        <v>212</v>
      </c>
      <c r="X28" s="70" t="s">
        <v>213</v>
      </c>
      <c r="Z28" s="47"/>
      <c r="AA28" s="267"/>
      <c r="AB28" s="48"/>
      <c r="AC28" s="48"/>
    </row>
    <row r="29" spans="1:29" s="46" customFormat="1" x14ac:dyDescent="0.25">
      <c r="A29" s="39" t="s">
        <v>245</v>
      </c>
      <c r="B29" s="40" t="s">
        <v>182</v>
      </c>
      <c r="C29" s="41" t="s">
        <v>183</v>
      </c>
      <c r="D29" s="42">
        <v>44927</v>
      </c>
      <c r="E29" s="42">
        <v>45291</v>
      </c>
      <c r="F29" s="42">
        <f t="shared" si="8"/>
        <v>45107</v>
      </c>
      <c r="G29" s="112">
        <f>_xlfn.XLOOKUP(F29,'A-6 CMS Market Basket Index '!$AZ$3:$AZ$8,'A-6 CMS Market Basket Index '!$BF$3:$BF$8)</f>
        <v>1.0538000000000001</v>
      </c>
      <c r="H29" s="43">
        <f t="shared" si="0"/>
        <v>764534</v>
      </c>
      <c r="I29" s="44">
        <f t="shared" si="1"/>
        <v>6139</v>
      </c>
      <c r="J29" s="65">
        <f t="shared" si="2"/>
        <v>124.53722104577292</v>
      </c>
      <c r="K29" s="76">
        <f t="shared" si="3"/>
        <v>131.23732353803553</v>
      </c>
      <c r="L29" s="51"/>
      <c r="M29" s="44">
        <v>764534</v>
      </c>
      <c r="N29" s="44">
        <v>6139</v>
      </c>
      <c r="O29" s="65">
        <v>124.54</v>
      </c>
      <c r="P29" s="51">
        <f t="shared" si="4"/>
        <v>131.24025200000003</v>
      </c>
      <c r="Q29" s="44"/>
      <c r="R29" s="44"/>
      <c r="S29" s="65"/>
      <c r="T29" s="51" t="str">
        <f t="shared" si="5"/>
        <v/>
      </c>
      <c r="U29" s="46" t="s">
        <v>48</v>
      </c>
      <c r="V29" s="46">
        <v>84107</v>
      </c>
      <c r="W29" s="69" t="s">
        <v>218</v>
      </c>
      <c r="X29" s="70" t="s">
        <v>209</v>
      </c>
      <c r="Z29" s="47"/>
      <c r="AA29" s="267"/>
      <c r="AB29" s="48"/>
      <c r="AC29" s="48"/>
    </row>
    <row r="30" spans="1:29" s="46" customFormat="1" x14ac:dyDescent="0.25">
      <c r="A30" s="50" t="s">
        <v>246</v>
      </c>
      <c r="B30" s="86" t="s">
        <v>38</v>
      </c>
      <c r="C30" s="87">
        <v>467081</v>
      </c>
      <c r="D30" s="88">
        <v>45292</v>
      </c>
      <c r="E30" s="88">
        <v>45412</v>
      </c>
      <c r="F30" s="42">
        <f t="shared" si="8"/>
        <v>45350</v>
      </c>
      <c r="G30" s="112">
        <f>_xlfn.XLOOKUP(F30,'A-6 CMS Market Basket Index '!$AZ$3:$AZ$8,'A-6 CMS Market Basket Index '!$BF$3:$BF$8)</f>
        <v>1.0233000000000001</v>
      </c>
      <c r="H30" s="43">
        <f t="shared" si="0"/>
        <v>162525</v>
      </c>
      <c r="I30" s="44">
        <f t="shared" si="1"/>
        <v>1256</v>
      </c>
      <c r="J30" s="65">
        <f t="shared" si="2"/>
        <v>129.39888535031847</v>
      </c>
      <c r="K30" s="76">
        <f t="shared" si="3"/>
        <v>132.41387937898091</v>
      </c>
      <c r="L30" s="51"/>
      <c r="M30" s="49">
        <v>162525</v>
      </c>
      <c r="N30" s="49">
        <v>1256</v>
      </c>
      <c r="O30" s="80">
        <v>129.4</v>
      </c>
      <c r="P30" s="51">
        <f t="shared" si="4"/>
        <v>132.41502000000003</v>
      </c>
      <c r="Q30" s="49"/>
      <c r="R30" s="49"/>
      <c r="S30" s="80"/>
      <c r="T30" s="51" t="str">
        <f t="shared" si="5"/>
        <v/>
      </c>
      <c r="U30" s="90" t="s">
        <v>37</v>
      </c>
      <c r="V30" s="90">
        <v>84010</v>
      </c>
      <c r="W30" s="91" t="s">
        <v>212</v>
      </c>
      <c r="X30" s="92" t="s">
        <v>213</v>
      </c>
      <c r="Y30" s="52" t="s">
        <v>43</v>
      </c>
      <c r="Z30" s="53" t="s">
        <v>36</v>
      </c>
      <c r="AA30" s="267"/>
      <c r="AB30" s="48"/>
      <c r="AC30" s="48"/>
    </row>
    <row r="31" spans="1:29" s="46" customFormat="1" x14ac:dyDescent="0.25">
      <c r="A31" s="39" t="s">
        <v>245</v>
      </c>
      <c r="B31" s="40" t="s">
        <v>127</v>
      </c>
      <c r="C31" s="41" t="s">
        <v>128</v>
      </c>
      <c r="D31" s="42">
        <v>44927</v>
      </c>
      <c r="E31" s="42">
        <v>45291</v>
      </c>
      <c r="F31" s="42">
        <f t="shared" si="8"/>
        <v>45107</v>
      </c>
      <c r="G31" s="112">
        <f>_xlfn.XLOOKUP(F31,'A-6 CMS Market Basket Index '!$AZ$3:$AZ$8,'A-6 CMS Market Basket Index '!$BF$3:$BF$8)</f>
        <v>1.0538000000000001</v>
      </c>
      <c r="H31" s="43">
        <f t="shared" si="0"/>
        <v>912716</v>
      </c>
      <c r="I31" s="44">
        <f t="shared" si="1"/>
        <v>6781</v>
      </c>
      <c r="J31" s="65">
        <f t="shared" si="2"/>
        <v>134.59902669222828</v>
      </c>
      <c r="K31" s="76">
        <f t="shared" si="3"/>
        <v>141.84045432827017</v>
      </c>
      <c r="L31" s="51"/>
      <c r="M31" s="44">
        <v>859550</v>
      </c>
      <c r="N31" s="44">
        <v>5959</v>
      </c>
      <c r="O31" s="65">
        <v>144.24</v>
      </c>
      <c r="P31" s="51">
        <f t="shared" si="4"/>
        <v>152.00011200000003</v>
      </c>
      <c r="Q31" s="44">
        <v>53166</v>
      </c>
      <c r="R31" s="44">
        <v>822</v>
      </c>
      <c r="S31" s="65">
        <v>64.680000000000007</v>
      </c>
      <c r="T31" s="51">
        <f t="shared" si="5"/>
        <v>68.159784000000016</v>
      </c>
      <c r="U31" s="46" t="s">
        <v>129</v>
      </c>
      <c r="V31" s="46">
        <v>84063</v>
      </c>
      <c r="W31" s="69" t="s">
        <v>222</v>
      </c>
      <c r="X31" s="70" t="s">
        <v>209</v>
      </c>
      <c r="Z31" s="47"/>
      <c r="AA31" s="267"/>
      <c r="AB31" s="48"/>
      <c r="AC31" s="48"/>
    </row>
    <row r="32" spans="1:29" s="46" customFormat="1" x14ac:dyDescent="0.25">
      <c r="A32" s="39" t="s">
        <v>245</v>
      </c>
      <c r="B32" s="40" t="s">
        <v>136</v>
      </c>
      <c r="C32" s="41" t="s">
        <v>137</v>
      </c>
      <c r="D32" s="42">
        <v>44927</v>
      </c>
      <c r="E32" s="42">
        <v>45291</v>
      </c>
      <c r="F32" s="42">
        <f t="shared" si="8"/>
        <v>45107</v>
      </c>
      <c r="G32" s="112">
        <f>_xlfn.XLOOKUP(F32,'A-6 CMS Market Basket Index '!$AZ$3:$AZ$8,'A-6 CMS Market Basket Index '!$BF$3:$BF$8)</f>
        <v>1.0538000000000001</v>
      </c>
      <c r="H32" s="43">
        <f t="shared" si="0"/>
        <v>262226</v>
      </c>
      <c r="I32" s="44">
        <f t="shared" si="1"/>
        <v>1879</v>
      </c>
      <c r="J32" s="65">
        <f t="shared" si="2"/>
        <v>139.55614688664184</v>
      </c>
      <c r="K32" s="76">
        <f t="shared" si="3"/>
        <v>147.06426758914318</v>
      </c>
      <c r="L32" s="51"/>
      <c r="M32" s="44">
        <v>259289</v>
      </c>
      <c r="N32" s="44">
        <v>1804</v>
      </c>
      <c r="O32" s="65">
        <v>143.72999999999999</v>
      </c>
      <c r="P32" s="51">
        <f t="shared" si="4"/>
        <v>151.46267399999999</v>
      </c>
      <c r="Q32" s="44">
        <v>2937</v>
      </c>
      <c r="R32" s="44">
        <v>75</v>
      </c>
      <c r="S32" s="65">
        <v>39.159999999999997</v>
      </c>
      <c r="T32" s="51">
        <f t="shared" si="5"/>
        <v>41.266807999999997</v>
      </c>
      <c r="U32" s="46" t="s">
        <v>48</v>
      </c>
      <c r="V32" s="46">
        <v>84106</v>
      </c>
      <c r="W32" s="69" t="s">
        <v>218</v>
      </c>
      <c r="X32" s="70" t="s">
        <v>209</v>
      </c>
      <c r="Z32" s="47"/>
      <c r="AA32" s="267"/>
      <c r="AB32" s="48"/>
      <c r="AC32" s="48"/>
    </row>
    <row r="33" spans="1:29" s="46" customFormat="1" x14ac:dyDescent="0.25">
      <c r="A33" s="39" t="s">
        <v>245</v>
      </c>
      <c r="B33" s="40" t="s">
        <v>88</v>
      </c>
      <c r="C33" s="41" t="s">
        <v>89</v>
      </c>
      <c r="D33" s="42">
        <v>44927</v>
      </c>
      <c r="E33" s="42">
        <v>45291</v>
      </c>
      <c r="F33" s="42">
        <f t="shared" si="8"/>
        <v>45107</v>
      </c>
      <c r="G33" s="112">
        <f>_xlfn.XLOOKUP(F33,'A-6 CMS Market Basket Index '!$AZ$3:$AZ$8,'A-6 CMS Market Basket Index '!$BF$3:$BF$8)</f>
        <v>1.0538000000000001</v>
      </c>
      <c r="H33" s="43">
        <f t="shared" si="0"/>
        <v>223432</v>
      </c>
      <c r="I33" s="44">
        <f t="shared" si="1"/>
        <v>1594</v>
      </c>
      <c r="J33" s="65">
        <f t="shared" si="2"/>
        <v>140.17063989962358</v>
      </c>
      <c r="K33" s="76">
        <f t="shared" si="3"/>
        <v>147.71182032622335</v>
      </c>
      <c r="L33" s="51"/>
      <c r="M33" s="44">
        <v>210495</v>
      </c>
      <c r="N33" s="44">
        <v>1500</v>
      </c>
      <c r="O33" s="65">
        <v>140.33000000000001</v>
      </c>
      <c r="P33" s="51">
        <f t="shared" si="4"/>
        <v>147.87975400000002</v>
      </c>
      <c r="Q33" s="44">
        <v>12937</v>
      </c>
      <c r="R33" s="44">
        <v>94</v>
      </c>
      <c r="S33" s="65">
        <v>137.63</v>
      </c>
      <c r="T33" s="51">
        <f t="shared" si="5"/>
        <v>145.034494</v>
      </c>
      <c r="U33" s="46" t="s">
        <v>48</v>
      </c>
      <c r="V33" s="46">
        <v>84121</v>
      </c>
      <c r="W33" s="69" t="s">
        <v>218</v>
      </c>
      <c r="X33" s="70" t="s">
        <v>209</v>
      </c>
      <c r="Z33" s="47"/>
      <c r="AA33" s="267"/>
      <c r="AB33" s="48"/>
      <c r="AC33" s="48"/>
    </row>
    <row r="34" spans="1:29" s="46" customFormat="1" x14ac:dyDescent="0.25">
      <c r="A34" s="39" t="s">
        <v>245</v>
      </c>
      <c r="B34" s="40" t="s">
        <v>200</v>
      </c>
      <c r="C34" s="41" t="s">
        <v>198</v>
      </c>
      <c r="D34" s="42">
        <v>44927</v>
      </c>
      <c r="E34" s="42">
        <v>45291</v>
      </c>
      <c r="F34" s="42">
        <f t="shared" si="8"/>
        <v>45107</v>
      </c>
      <c r="G34" s="112">
        <f>_xlfn.XLOOKUP(F34,'A-6 CMS Market Basket Index '!$AZ$3:$AZ$8,'A-6 CMS Market Basket Index '!$BF$3:$BF$8)</f>
        <v>1.0538000000000001</v>
      </c>
      <c r="H34" s="43">
        <f t="shared" si="0"/>
        <v>196468</v>
      </c>
      <c r="I34" s="44">
        <f t="shared" si="1"/>
        <v>1398</v>
      </c>
      <c r="J34" s="65">
        <f t="shared" si="2"/>
        <v>140.53505007153075</v>
      </c>
      <c r="K34" s="76">
        <f t="shared" si="3"/>
        <v>148.09583576537912</v>
      </c>
      <c r="L34" s="51"/>
      <c r="M34" s="44">
        <v>196468</v>
      </c>
      <c r="N34" s="44">
        <v>1398</v>
      </c>
      <c r="O34" s="65">
        <v>140.54</v>
      </c>
      <c r="P34" s="51">
        <f t="shared" si="4"/>
        <v>148.10105200000001</v>
      </c>
      <c r="Q34" s="44"/>
      <c r="R34" s="44"/>
      <c r="S34" s="65"/>
      <c r="T34" s="51" t="str">
        <f t="shared" si="5"/>
        <v/>
      </c>
      <c r="U34" s="46" t="s">
        <v>199</v>
      </c>
      <c r="V34" s="46">
        <v>84780</v>
      </c>
      <c r="W34" s="69" t="s">
        <v>223</v>
      </c>
      <c r="X34" s="70" t="s">
        <v>209</v>
      </c>
      <c r="Z34" s="47"/>
      <c r="AA34" s="267"/>
      <c r="AB34" s="48"/>
      <c r="AC34" s="48"/>
    </row>
    <row r="35" spans="1:29" s="46" customFormat="1" x14ac:dyDescent="0.25">
      <c r="A35" s="39" t="s">
        <v>245</v>
      </c>
      <c r="B35" s="40" t="s">
        <v>169</v>
      </c>
      <c r="C35" s="41" t="s">
        <v>170</v>
      </c>
      <c r="D35" s="42">
        <v>44927</v>
      </c>
      <c r="E35" s="42">
        <v>45291</v>
      </c>
      <c r="F35" s="42">
        <f t="shared" si="8"/>
        <v>45107</v>
      </c>
      <c r="G35" s="112">
        <f>_xlfn.XLOOKUP(F35,'A-6 CMS Market Basket Index '!$AZ$3:$AZ$8,'A-6 CMS Market Basket Index '!$BF$3:$BF$8)</f>
        <v>1.0538000000000001</v>
      </c>
      <c r="H35" s="43">
        <f t="shared" si="0"/>
        <v>183530</v>
      </c>
      <c r="I35" s="44">
        <f t="shared" si="1"/>
        <v>1287</v>
      </c>
      <c r="J35" s="65">
        <f t="shared" si="2"/>
        <v>142.6029526029526</v>
      </c>
      <c r="K35" s="76">
        <f t="shared" si="3"/>
        <v>150.27499145299146</v>
      </c>
      <c r="L35" s="51"/>
      <c r="M35" s="44">
        <v>142774</v>
      </c>
      <c r="N35" s="44">
        <v>685</v>
      </c>
      <c r="O35" s="65">
        <v>208.43</v>
      </c>
      <c r="P35" s="51">
        <f t="shared" si="4"/>
        <v>219.64353400000002</v>
      </c>
      <c r="Q35" s="44">
        <v>40756</v>
      </c>
      <c r="R35" s="44">
        <v>602</v>
      </c>
      <c r="S35" s="65">
        <v>67.7</v>
      </c>
      <c r="T35" s="51">
        <f t="shared" si="5"/>
        <v>71.34226000000001</v>
      </c>
      <c r="U35" s="46" t="s">
        <v>45</v>
      </c>
      <c r="V35" s="46">
        <v>84020</v>
      </c>
      <c r="W35" s="69" t="s">
        <v>218</v>
      </c>
      <c r="X35" s="70" t="s">
        <v>209</v>
      </c>
      <c r="Z35" s="47"/>
      <c r="AA35" s="267"/>
      <c r="AB35" s="48"/>
      <c r="AC35" s="48"/>
    </row>
    <row r="36" spans="1:29" s="46" customFormat="1" x14ac:dyDescent="0.25">
      <c r="A36" s="39" t="s">
        <v>245</v>
      </c>
      <c r="B36" s="40" t="s">
        <v>158</v>
      </c>
      <c r="C36" s="41" t="s">
        <v>159</v>
      </c>
      <c r="D36" s="42">
        <v>44927</v>
      </c>
      <c r="E36" s="42">
        <v>45291</v>
      </c>
      <c r="F36" s="42">
        <f t="shared" si="8"/>
        <v>45107</v>
      </c>
      <c r="G36" s="112">
        <f>_xlfn.XLOOKUP(F36,'A-6 CMS Market Basket Index '!$AZ$3:$AZ$8,'A-6 CMS Market Basket Index '!$BF$3:$BF$8)</f>
        <v>1.0538000000000001</v>
      </c>
      <c r="H36" s="43">
        <f t="shared" si="0"/>
        <v>9959659</v>
      </c>
      <c r="I36" s="44">
        <f t="shared" si="1"/>
        <v>67990</v>
      </c>
      <c r="J36" s="65">
        <f t="shared" si="2"/>
        <v>146.48711575231653</v>
      </c>
      <c r="K36" s="76">
        <f t="shared" si="3"/>
        <v>154.36812257979116</v>
      </c>
      <c r="L36" s="51"/>
      <c r="M36" s="44">
        <v>8471503</v>
      </c>
      <c r="N36" s="44">
        <v>54434</v>
      </c>
      <c r="O36" s="65">
        <v>155.63</v>
      </c>
      <c r="P36" s="51">
        <f t="shared" si="4"/>
        <v>164.002894</v>
      </c>
      <c r="Q36" s="44">
        <v>1488156</v>
      </c>
      <c r="R36" s="44">
        <v>13556</v>
      </c>
      <c r="S36" s="65">
        <v>109.78</v>
      </c>
      <c r="T36" s="51">
        <f t="shared" si="5"/>
        <v>115.68616400000001</v>
      </c>
      <c r="U36" s="46" t="s">
        <v>101</v>
      </c>
      <c r="V36" s="46">
        <v>84095</v>
      </c>
      <c r="W36" s="69" t="s">
        <v>218</v>
      </c>
      <c r="X36" s="70" t="s">
        <v>209</v>
      </c>
      <c r="Z36" s="47"/>
      <c r="AA36" s="267"/>
      <c r="AB36" s="48"/>
      <c r="AC36" s="48"/>
    </row>
    <row r="37" spans="1:29" s="46" customFormat="1" x14ac:dyDescent="0.25">
      <c r="A37" s="50" t="s">
        <v>246</v>
      </c>
      <c r="B37" s="86" t="s">
        <v>22</v>
      </c>
      <c r="C37" s="87">
        <v>467039</v>
      </c>
      <c r="D37" s="88">
        <v>44743</v>
      </c>
      <c r="E37" s="88">
        <v>45107</v>
      </c>
      <c r="F37" s="42">
        <f>((D37+E37)/2)+1</f>
        <v>44926</v>
      </c>
      <c r="G37" s="112">
        <f>_xlfn.XLOOKUP(F37,'A-6 CMS Market Basket Index '!$AZ$3:$AZ$8,'A-6 CMS Market Basket Index '!$BF$3:$BF$8)</f>
        <v>1.0788</v>
      </c>
      <c r="H37" s="43">
        <f t="shared" si="0"/>
        <v>259058</v>
      </c>
      <c r="I37" s="44">
        <f t="shared" si="1"/>
        <v>1801</v>
      </c>
      <c r="J37" s="65">
        <f t="shared" si="2"/>
        <v>143.84119933370349</v>
      </c>
      <c r="K37" s="76">
        <f t="shared" si="3"/>
        <v>155.17588584119932</v>
      </c>
      <c r="L37" s="51"/>
      <c r="M37" s="49">
        <v>259058</v>
      </c>
      <c r="N37" s="49">
        <v>1801</v>
      </c>
      <c r="O37" s="80">
        <v>143.84</v>
      </c>
      <c r="P37" s="51">
        <f t="shared" si="4"/>
        <v>155.17459199999999</v>
      </c>
      <c r="Q37" s="49"/>
      <c r="R37" s="49"/>
      <c r="S37" s="80"/>
      <c r="T37" s="51" t="str">
        <f t="shared" si="5"/>
        <v/>
      </c>
      <c r="U37" s="90" t="s">
        <v>21</v>
      </c>
      <c r="V37" s="90">
        <v>84066</v>
      </c>
      <c r="W37" s="91" t="s">
        <v>214</v>
      </c>
      <c r="X37" s="92" t="s">
        <v>209</v>
      </c>
      <c r="Y37" s="52" t="s">
        <v>19</v>
      </c>
      <c r="Z37" s="53" t="s">
        <v>20</v>
      </c>
      <c r="AA37" s="267"/>
      <c r="AB37" s="48"/>
      <c r="AC37" s="48"/>
    </row>
    <row r="38" spans="1:29" s="46" customFormat="1" x14ac:dyDescent="0.25">
      <c r="A38" s="50" t="s">
        <v>246</v>
      </c>
      <c r="B38" s="86" t="s">
        <v>35</v>
      </c>
      <c r="C38" s="87">
        <v>467035</v>
      </c>
      <c r="D38" s="88">
        <v>45108</v>
      </c>
      <c r="E38" s="88">
        <v>45473</v>
      </c>
      <c r="F38" s="42">
        <f>((D38+E38)/2)+1</f>
        <v>45291.5</v>
      </c>
      <c r="G38" s="112">
        <f>_xlfn.XLOOKUP(F38,'A-6 CMS Market Basket Index '!$AZ$3:$AZ$8,'A-6 CMS Market Basket Index '!$BF$3:$BF$8)</f>
        <v>1.0366</v>
      </c>
      <c r="H38" s="43">
        <f t="shared" ref="H38:H69" si="9">IFERROR(M38+Q38,0)</f>
        <v>184083</v>
      </c>
      <c r="I38" s="44">
        <f t="shared" ref="I38:I69" si="10">IFERROR(N38+R38,0)</f>
        <v>1229</v>
      </c>
      <c r="J38" s="65">
        <f t="shared" ref="J38:J69" si="11">IFERROR(H38/I38,"")</f>
        <v>149.78275020341741</v>
      </c>
      <c r="K38" s="76">
        <f t="shared" ref="K38:K69" si="12">IF(J38="","",J38*$G38)</f>
        <v>155.26479886086247</v>
      </c>
      <c r="L38" s="51"/>
      <c r="M38" s="49">
        <v>184083</v>
      </c>
      <c r="N38" s="49">
        <v>1229</v>
      </c>
      <c r="O38" s="80">
        <v>149.78</v>
      </c>
      <c r="P38" s="51">
        <f t="shared" ref="P38:P69" si="13">IF(O38="","",O38*$G38)</f>
        <v>155.26194799999999</v>
      </c>
      <c r="Q38" s="49"/>
      <c r="R38" s="49"/>
      <c r="S38" s="80"/>
      <c r="T38" s="51" t="str">
        <f t="shared" ref="T38:T69" si="14">IF(S38="","",S38*$G38)</f>
        <v/>
      </c>
      <c r="U38" s="90" t="s">
        <v>34</v>
      </c>
      <c r="V38" s="90">
        <v>84634</v>
      </c>
      <c r="W38" s="91" t="s">
        <v>220</v>
      </c>
      <c r="X38" s="92" t="s">
        <v>209</v>
      </c>
      <c r="Y38" s="52" t="s">
        <v>32</v>
      </c>
      <c r="Z38" s="53" t="s">
        <v>33</v>
      </c>
      <c r="AA38" s="267"/>
      <c r="AB38" s="48"/>
      <c r="AC38" s="48"/>
    </row>
    <row r="39" spans="1:29" s="46" customFormat="1" x14ac:dyDescent="0.25">
      <c r="A39" s="39" t="s">
        <v>245</v>
      </c>
      <c r="B39" s="40" t="s">
        <v>119</v>
      </c>
      <c r="C39" s="41" t="s">
        <v>120</v>
      </c>
      <c r="D39" s="42">
        <v>44927</v>
      </c>
      <c r="E39" s="42">
        <v>45291</v>
      </c>
      <c r="F39" s="42">
        <f t="shared" ref="F39:F57" si="15">((D39+E39)/2)-2</f>
        <v>45107</v>
      </c>
      <c r="G39" s="112">
        <f>_xlfn.XLOOKUP(F39,'A-6 CMS Market Basket Index '!$AZ$3:$AZ$8,'A-6 CMS Market Basket Index '!$BF$3:$BF$8)</f>
        <v>1.0538000000000001</v>
      </c>
      <c r="H39" s="43">
        <f t="shared" si="9"/>
        <v>2624393</v>
      </c>
      <c r="I39" s="44">
        <f t="shared" si="10"/>
        <v>17428</v>
      </c>
      <c r="J39" s="65">
        <f t="shared" si="11"/>
        <v>150.5848634381455</v>
      </c>
      <c r="K39" s="76">
        <f t="shared" si="12"/>
        <v>158.68632909111776</v>
      </c>
      <c r="L39" s="51"/>
      <c r="M39" s="44">
        <v>2481807</v>
      </c>
      <c r="N39" s="44">
        <v>13088</v>
      </c>
      <c r="O39" s="65">
        <v>189.62</v>
      </c>
      <c r="P39" s="51">
        <f t="shared" si="13"/>
        <v>199.82155600000002</v>
      </c>
      <c r="Q39" s="44">
        <v>142586</v>
      </c>
      <c r="R39" s="44">
        <v>4340</v>
      </c>
      <c r="S39" s="65">
        <v>32.85</v>
      </c>
      <c r="T39" s="51">
        <f t="shared" si="14"/>
        <v>34.617330000000003</v>
      </c>
      <c r="U39" s="46" t="s">
        <v>104</v>
      </c>
      <c r="V39" s="46">
        <v>84119</v>
      </c>
      <c r="W39" s="69" t="s">
        <v>218</v>
      </c>
      <c r="X39" s="70" t="s">
        <v>209</v>
      </c>
      <c r="Z39" s="47"/>
      <c r="AA39" s="267"/>
      <c r="AB39" s="48"/>
      <c r="AC39" s="48"/>
    </row>
    <row r="40" spans="1:29" s="46" customFormat="1" x14ac:dyDescent="0.25">
      <c r="A40" s="39" t="s">
        <v>245</v>
      </c>
      <c r="B40" s="40" t="s">
        <v>160</v>
      </c>
      <c r="C40" s="41" t="s">
        <v>161</v>
      </c>
      <c r="D40" s="42">
        <v>44927</v>
      </c>
      <c r="E40" s="42">
        <v>45291</v>
      </c>
      <c r="F40" s="42">
        <f t="shared" si="15"/>
        <v>45107</v>
      </c>
      <c r="G40" s="112">
        <f>_xlfn.XLOOKUP(F40,'A-6 CMS Market Basket Index '!$AZ$3:$AZ$8,'A-6 CMS Market Basket Index '!$BF$3:$BF$8)</f>
        <v>1.0538000000000001</v>
      </c>
      <c r="H40" s="43">
        <f t="shared" si="9"/>
        <v>2162818</v>
      </c>
      <c r="I40" s="44">
        <f t="shared" si="10"/>
        <v>14359</v>
      </c>
      <c r="J40" s="65">
        <f t="shared" si="11"/>
        <v>150.62455602757854</v>
      </c>
      <c r="K40" s="76">
        <f t="shared" si="12"/>
        <v>158.72815714186228</v>
      </c>
      <c r="L40" s="51"/>
      <c r="M40" s="44">
        <v>1941067</v>
      </c>
      <c r="N40" s="44">
        <v>12492</v>
      </c>
      <c r="O40" s="65">
        <v>155.38</v>
      </c>
      <c r="P40" s="51">
        <f t="shared" si="13"/>
        <v>163.73944400000002</v>
      </c>
      <c r="Q40" s="44">
        <v>221751</v>
      </c>
      <c r="R40" s="44">
        <v>1867</v>
      </c>
      <c r="S40" s="65">
        <v>118.77</v>
      </c>
      <c r="T40" s="51">
        <f t="shared" si="14"/>
        <v>125.15982600000001</v>
      </c>
      <c r="U40" s="46" t="s">
        <v>62</v>
      </c>
      <c r="V40" s="46">
        <v>84770</v>
      </c>
      <c r="W40" s="69" t="s">
        <v>223</v>
      </c>
      <c r="X40" s="70" t="s">
        <v>209</v>
      </c>
      <c r="Z40" s="47"/>
      <c r="AA40" s="267"/>
      <c r="AB40" s="48"/>
      <c r="AC40" s="48"/>
    </row>
    <row r="41" spans="1:29" s="46" customFormat="1" x14ac:dyDescent="0.25">
      <c r="A41" s="39" t="s">
        <v>245</v>
      </c>
      <c r="B41" s="40" t="s">
        <v>156</v>
      </c>
      <c r="C41" s="41" t="s">
        <v>157</v>
      </c>
      <c r="D41" s="42">
        <v>44927</v>
      </c>
      <c r="E41" s="42">
        <v>45291</v>
      </c>
      <c r="F41" s="42">
        <f t="shared" si="15"/>
        <v>45107</v>
      </c>
      <c r="G41" s="112">
        <f>_xlfn.XLOOKUP(F41,'A-6 CMS Market Basket Index '!$AZ$3:$AZ$8,'A-6 CMS Market Basket Index '!$BF$3:$BF$8)</f>
        <v>1.0538000000000001</v>
      </c>
      <c r="H41" s="43">
        <f t="shared" si="9"/>
        <v>2585245</v>
      </c>
      <c r="I41" s="44">
        <f t="shared" si="10"/>
        <v>17105</v>
      </c>
      <c r="J41" s="65">
        <f t="shared" si="11"/>
        <v>151.13972522654194</v>
      </c>
      <c r="K41" s="76">
        <f t="shared" si="12"/>
        <v>159.2710424437299</v>
      </c>
      <c r="L41" s="51"/>
      <c r="M41" s="44">
        <v>2357383</v>
      </c>
      <c r="N41" s="44">
        <v>15549</v>
      </c>
      <c r="O41" s="65">
        <v>151.61000000000001</v>
      </c>
      <c r="P41" s="51">
        <f t="shared" si="13"/>
        <v>159.76661800000002</v>
      </c>
      <c r="Q41" s="44">
        <v>227862</v>
      </c>
      <c r="R41" s="44">
        <v>1556</v>
      </c>
      <c r="S41" s="65">
        <v>146.44</v>
      </c>
      <c r="T41" s="51">
        <f t="shared" si="14"/>
        <v>154.31847200000001</v>
      </c>
      <c r="U41" s="46" t="s">
        <v>40</v>
      </c>
      <c r="V41" s="46">
        <v>84405</v>
      </c>
      <c r="W41" s="69" t="s">
        <v>224</v>
      </c>
      <c r="X41" s="70" t="s">
        <v>213</v>
      </c>
      <c r="Z41" s="47"/>
      <c r="AA41" s="267"/>
      <c r="AB41" s="48"/>
      <c r="AC41" s="48"/>
    </row>
    <row r="42" spans="1:29" s="46" customFormat="1" x14ac:dyDescent="0.25">
      <c r="A42" s="39" t="s">
        <v>245</v>
      </c>
      <c r="B42" s="40" t="s">
        <v>145</v>
      </c>
      <c r="C42" s="41" t="s">
        <v>146</v>
      </c>
      <c r="D42" s="42">
        <v>44927</v>
      </c>
      <c r="E42" s="42">
        <v>45291</v>
      </c>
      <c r="F42" s="42">
        <f t="shared" si="15"/>
        <v>45107</v>
      </c>
      <c r="G42" s="112">
        <f>_xlfn.XLOOKUP(F42,'A-6 CMS Market Basket Index '!$AZ$3:$AZ$8,'A-6 CMS Market Basket Index '!$BF$3:$BF$8)</f>
        <v>1.0538000000000001</v>
      </c>
      <c r="H42" s="43">
        <f t="shared" si="9"/>
        <v>633778</v>
      </c>
      <c r="I42" s="44">
        <f t="shared" si="10"/>
        <v>4149</v>
      </c>
      <c r="J42" s="65">
        <f t="shared" si="11"/>
        <v>152.75439865027718</v>
      </c>
      <c r="K42" s="76">
        <f t="shared" si="12"/>
        <v>160.97258529766211</v>
      </c>
      <c r="L42" s="51"/>
      <c r="M42" s="44">
        <v>581831</v>
      </c>
      <c r="N42" s="44">
        <v>4076</v>
      </c>
      <c r="O42" s="65">
        <v>142.75</v>
      </c>
      <c r="P42" s="51">
        <f t="shared" si="13"/>
        <v>150.42995000000002</v>
      </c>
      <c r="Q42" s="44">
        <v>51947</v>
      </c>
      <c r="R42" s="44">
        <v>73</v>
      </c>
      <c r="S42" s="65">
        <v>711.6</v>
      </c>
      <c r="T42" s="51">
        <f t="shared" si="14"/>
        <v>749.88408000000004</v>
      </c>
      <c r="U42" s="46" t="s">
        <v>41</v>
      </c>
      <c r="V42" s="46">
        <v>84647</v>
      </c>
      <c r="W42" s="69" t="s">
        <v>220</v>
      </c>
      <c r="X42" s="70" t="s">
        <v>209</v>
      </c>
      <c r="Z42" s="47"/>
      <c r="AA42" s="267"/>
      <c r="AB42" s="48"/>
      <c r="AC42" s="48"/>
    </row>
    <row r="43" spans="1:29" s="46" customFormat="1" x14ac:dyDescent="0.25">
      <c r="A43" s="39" t="s">
        <v>245</v>
      </c>
      <c r="B43" s="40" t="s">
        <v>105</v>
      </c>
      <c r="C43" s="41" t="s">
        <v>106</v>
      </c>
      <c r="D43" s="42">
        <v>44927</v>
      </c>
      <c r="E43" s="42">
        <v>45291</v>
      </c>
      <c r="F43" s="42">
        <f t="shared" si="15"/>
        <v>45107</v>
      </c>
      <c r="G43" s="112">
        <f>_xlfn.XLOOKUP(F43,'A-6 CMS Market Basket Index '!$AZ$3:$AZ$8,'A-6 CMS Market Basket Index '!$BF$3:$BF$8)</f>
        <v>1.0538000000000001</v>
      </c>
      <c r="H43" s="43">
        <f t="shared" si="9"/>
        <v>290648</v>
      </c>
      <c r="I43" s="44">
        <f t="shared" si="10"/>
        <v>1899</v>
      </c>
      <c r="J43" s="65">
        <f t="shared" si="11"/>
        <v>153.0531858873091</v>
      </c>
      <c r="K43" s="76">
        <f t="shared" si="12"/>
        <v>161.28744728804634</v>
      </c>
      <c r="L43" s="51"/>
      <c r="M43" s="44">
        <v>220090</v>
      </c>
      <c r="N43" s="44">
        <v>1447</v>
      </c>
      <c r="O43" s="65">
        <v>152.1</v>
      </c>
      <c r="P43" s="51">
        <f t="shared" si="13"/>
        <v>160.28298000000001</v>
      </c>
      <c r="Q43" s="44">
        <v>70558</v>
      </c>
      <c r="R43" s="44">
        <v>452</v>
      </c>
      <c r="S43" s="65">
        <v>156.1</v>
      </c>
      <c r="T43" s="51">
        <f t="shared" si="14"/>
        <v>164.49817999999999</v>
      </c>
      <c r="U43" s="46" t="s">
        <v>49</v>
      </c>
      <c r="V43" s="46">
        <v>84003</v>
      </c>
      <c r="W43" s="69" t="s">
        <v>15</v>
      </c>
      <c r="X43" s="70" t="s">
        <v>213</v>
      </c>
      <c r="Z43" s="47"/>
      <c r="AA43" s="267"/>
      <c r="AB43" s="48"/>
      <c r="AC43" s="48"/>
    </row>
    <row r="44" spans="1:29" s="46" customFormat="1" x14ac:dyDescent="0.25">
      <c r="A44" s="39" t="s">
        <v>245</v>
      </c>
      <c r="B44" s="40" t="s">
        <v>74</v>
      </c>
      <c r="C44" s="41" t="s">
        <v>73</v>
      </c>
      <c r="D44" s="42">
        <v>44927</v>
      </c>
      <c r="E44" s="42">
        <v>45291</v>
      </c>
      <c r="F44" s="42">
        <f t="shared" si="15"/>
        <v>45107</v>
      </c>
      <c r="G44" s="112">
        <f>_xlfn.XLOOKUP(F44,'A-6 CMS Market Basket Index '!$AZ$3:$AZ$8,'A-6 CMS Market Basket Index '!$BF$3:$BF$8)</f>
        <v>1.0538000000000001</v>
      </c>
      <c r="H44" s="43">
        <f t="shared" si="9"/>
        <v>2197404</v>
      </c>
      <c r="I44" s="44">
        <f t="shared" si="10"/>
        <v>14193</v>
      </c>
      <c r="J44" s="65">
        <f t="shared" si="11"/>
        <v>154.82308180088776</v>
      </c>
      <c r="K44" s="76">
        <f t="shared" si="12"/>
        <v>163.15256360177554</v>
      </c>
      <c r="L44" s="51"/>
      <c r="M44" s="44">
        <v>2197404</v>
      </c>
      <c r="N44" s="44">
        <v>14193</v>
      </c>
      <c r="O44" s="65">
        <v>154.82</v>
      </c>
      <c r="P44" s="51">
        <f t="shared" si="13"/>
        <v>163.149316</v>
      </c>
      <c r="Q44" s="44"/>
      <c r="R44" s="44"/>
      <c r="S44" s="65"/>
      <c r="T44" s="51" t="str">
        <f t="shared" si="14"/>
        <v/>
      </c>
      <c r="U44" s="46" t="s">
        <v>40</v>
      </c>
      <c r="V44" s="46">
        <v>84405</v>
      </c>
      <c r="W44" s="69" t="s">
        <v>224</v>
      </c>
      <c r="X44" s="70" t="s">
        <v>213</v>
      </c>
      <c r="Z44" s="47"/>
      <c r="AA44" s="267"/>
      <c r="AB44" s="48"/>
      <c r="AC44" s="48"/>
    </row>
    <row r="45" spans="1:29" s="46" customFormat="1" x14ac:dyDescent="0.25">
      <c r="A45" s="39" t="s">
        <v>245</v>
      </c>
      <c r="B45" s="40" t="s">
        <v>138</v>
      </c>
      <c r="C45" s="41" t="s">
        <v>139</v>
      </c>
      <c r="D45" s="42">
        <v>44927</v>
      </c>
      <c r="E45" s="42">
        <v>45291</v>
      </c>
      <c r="F45" s="42">
        <f t="shared" si="15"/>
        <v>45107</v>
      </c>
      <c r="G45" s="112">
        <f>_xlfn.XLOOKUP(F45,'A-6 CMS Market Basket Index '!$AZ$3:$AZ$8,'A-6 CMS Market Basket Index '!$BF$3:$BF$8)</f>
        <v>1.0538000000000001</v>
      </c>
      <c r="H45" s="43">
        <f t="shared" si="9"/>
        <v>146875</v>
      </c>
      <c r="I45" s="44">
        <f t="shared" si="10"/>
        <v>948</v>
      </c>
      <c r="J45" s="65">
        <f t="shared" si="11"/>
        <v>154.93143459915612</v>
      </c>
      <c r="K45" s="76">
        <f t="shared" si="12"/>
        <v>163.26674578059072</v>
      </c>
      <c r="L45" s="51"/>
      <c r="M45" s="44">
        <v>140814</v>
      </c>
      <c r="N45" s="44">
        <v>883</v>
      </c>
      <c r="O45" s="65">
        <v>159.47</v>
      </c>
      <c r="P45" s="51">
        <f t="shared" si="13"/>
        <v>168.049486</v>
      </c>
      <c r="Q45" s="44">
        <v>6061</v>
      </c>
      <c r="R45" s="44">
        <v>65</v>
      </c>
      <c r="S45" s="65">
        <v>93.25</v>
      </c>
      <c r="T45" s="51">
        <f t="shared" si="14"/>
        <v>98.266850000000005</v>
      </c>
      <c r="U45" s="46" t="s">
        <v>51</v>
      </c>
      <c r="V45" s="46">
        <v>84721</v>
      </c>
      <c r="W45" s="69" t="s">
        <v>216</v>
      </c>
      <c r="X45" s="70" t="s">
        <v>209</v>
      </c>
      <c r="Z45" s="47"/>
      <c r="AA45" s="267"/>
      <c r="AB45" s="48"/>
      <c r="AC45" s="48"/>
    </row>
    <row r="46" spans="1:29" s="46" customFormat="1" x14ac:dyDescent="0.25">
      <c r="A46" s="39" t="s">
        <v>245</v>
      </c>
      <c r="B46" s="40" t="s">
        <v>107</v>
      </c>
      <c r="C46" s="41" t="s">
        <v>108</v>
      </c>
      <c r="D46" s="42">
        <v>44927</v>
      </c>
      <c r="E46" s="42">
        <v>45291</v>
      </c>
      <c r="F46" s="42">
        <f t="shared" si="15"/>
        <v>45107</v>
      </c>
      <c r="G46" s="112">
        <f>_xlfn.XLOOKUP(F46,'A-6 CMS Market Basket Index '!$AZ$3:$AZ$8,'A-6 CMS Market Basket Index '!$BF$3:$BF$8)</f>
        <v>1.0538000000000001</v>
      </c>
      <c r="H46" s="43">
        <f t="shared" si="9"/>
        <v>898506</v>
      </c>
      <c r="I46" s="44">
        <f t="shared" si="10"/>
        <v>5796</v>
      </c>
      <c r="J46" s="65">
        <f t="shared" si="11"/>
        <v>155.02173913043478</v>
      </c>
      <c r="K46" s="76">
        <f t="shared" si="12"/>
        <v>163.36190869565218</v>
      </c>
      <c r="L46" s="51"/>
      <c r="M46" s="44">
        <v>888108</v>
      </c>
      <c r="N46" s="44">
        <v>5550</v>
      </c>
      <c r="O46" s="65">
        <v>160.02000000000001</v>
      </c>
      <c r="P46" s="51">
        <f t="shared" si="13"/>
        <v>168.62907600000003</v>
      </c>
      <c r="Q46" s="44">
        <v>10398</v>
      </c>
      <c r="R46" s="44">
        <v>246</v>
      </c>
      <c r="S46" s="65">
        <v>42.27</v>
      </c>
      <c r="T46" s="51">
        <f t="shared" si="14"/>
        <v>44.544126000000006</v>
      </c>
      <c r="U46" s="46" t="s">
        <v>62</v>
      </c>
      <c r="V46" s="46">
        <v>84790</v>
      </c>
      <c r="W46" s="69" t="s">
        <v>223</v>
      </c>
      <c r="X46" s="70" t="s">
        <v>209</v>
      </c>
      <c r="Z46" s="47"/>
      <c r="AA46" s="267"/>
      <c r="AB46" s="48"/>
      <c r="AC46" s="48"/>
    </row>
    <row r="47" spans="1:29" s="46" customFormat="1" x14ac:dyDescent="0.25">
      <c r="A47" s="39" t="s">
        <v>245</v>
      </c>
      <c r="B47" s="40" t="s">
        <v>93</v>
      </c>
      <c r="C47" s="41" t="s">
        <v>94</v>
      </c>
      <c r="D47" s="42">
        <v>44927</v>
      </c>
      <c r="E47" s="42">
        <v>45291</v>
      </c>
      <c r="F47" s="42">
        <f t="shared" si="15"/>
        <v>45107</v>
      </c>
      <c r="G47" s="112">
        <f>_xlfn.XLOOKUP(F47,'A-6 CMS Market Basket Index '!$AZ$3:$AZ$8,'A-6 CMS Market Basket Index '!$BF$3:$BF$8)</f>
        <v>1.0538000000000001</v>
      </c>
      <c r="H47" s="43">
        <f t="shared" si="9"/>
        <v>844167</v>
      </c>
      <c r="I47" s="44">
        <f t="shared" si="10"/>
        <v>5346</v>
      </c>
      <c r="J47" s="65">
        <f t="shared" si="11"/>
        <v>157.90628507295173</v>
      </c>
      <c r="K47" s="76">
        <f t="shared" si="12"/>
        <v>166.40164320987654</v>
      </c>
      <c r="L47" s="51"/>
      <c r="M47" s="44">
        <v>807903</v>
      </c>
      <c r="N47" s="44">
        <v>4953</v>
      </c>
      <c r="O47" s="65">
        <v>163.11000000000001</v>
      </c>
      <c r="P47" s="51">
        <f t="shared" si="13"/>
        <v>171.88531800000001</v>
      </c>
      <c r="Q47" s="44">
        <v>36264</v>
      </c>
      <c r="R47" s="44">
        <v>393</v>
      </c>
      <c r="S47" s="65">
        <v>92.27</v>
      </c>
      <c r="T47" s="51">
        <f t="shared" si="14"/>
        <v>97.234126000000003</v>
      </c>
      <c r="U47" s="46" t="s">
        <v>18</v>
      </c>
      <c r="V47" s="46">
        <v>84107</v>
      </c>
      <c r="W47" s="69" t="s">
        <v>218</v>
      </c>
      <c r="X47" s="70" t="s">
        <v>209</v>
      </c>
      <c r="Z47" s="47"/>
      <c r="AA47" s="267"/>
      <c r="AB47" s="48"/>
      <c r="AC47" s="48"/>
    </row>
    <row r="48" spans="1:29" s="46" customFormat="1" x14ac:dyDescent="0.25">
      <c r="A48" s="39" t="s">
        <v>245</v>
      </c>
      <c r="B48" s="40" t="s">
        <v>56</v>
      </c>
      <c r="C48" s="41" t="s">
        <v>184</v>
      </c>
      <c r="D48" s="42">
        <v>44927</v>
      </c>
      <c r="E48" s="42">
        <v>45291</v>
      </c>
      <c r="F48" s="42">
        <f t="shared" si="15"/>
        <v>45107</v>
      </c>
      <c r="G48" s="112">
        <f>_xlfn.XLOOKUP(F48,'A-6 CMS Market Basket Index '!$AZ$3:$AZ$8,'A-6 CMS Market Basket Index '!$BF$3:$BF$8)</f>
        <v>1.0538000000000001</v>
      </c>
      <c r="H48" s="43">
        <f t="shared" si="9"/>
        <v>5309549</v>
      </c>
      <c r="I48" s="44">
        <f t="shared" si="10"/>
        <v>32517</v>
      </c>
      <c r="J48" s="65">
        <f t="shared" si="11"/>
        <v>163.28532767475474</v>
      </c>
      <c r="K48" s="76">
        <f t="shared" si="12"/>
        <v>172.07007830365654</v>
      </c>
      <c r="L48" s="51"/>
      <c r="M48" s="44">
        <v>5309549</v>
      </c>
      <c r="N48" s="44">
        <v>32517</v>
      </c>
      <c r="O48" s="65">
        <v>163.29</v>
      </c>
      <c r="P48" s="51">
        <f t="shared" si="13"/>
        <v>172.07500200000001</v>
      </c>
      <c r="Q48" s="44"/>
      <c r="R48" s="44"/>
      <c r="S48" s="65"/>
      <c r="T48" s="51" t="str">
        <f t="shared" si="14"/>
        <v/>
      </c>
      <c r="U48" s="46" t="s">
        <v>16</v>
      </c>
      <c r="V48" s="46">
        <v>84010</v>
      </c>
      <c r="W48" s="69" t="s">
        <v>212</v>
      </c>
      <c r="X48" s="70" t="s">
        <v>213</v>
      </c>
      <c r="Z48" s="47"/>
      <c r="AA48" s="267"/>
      <c r="AB48" s="48"/>
      <c r="AC48" s="48"/>
    </row>
    <row r="49" spans="1:29" s="46" customFormat="1" x14ac:dyDescent="0.25">
      <c r="A49" s="39" t="s">
        <v>245</v>
      </c>
      <c r="B49" s="40" t="s">
        <v>121</v>
      </c>
      <c r="C49" s="41" t="s">
        <v>122</v>
      </c>
      <c r="D49" s="42">
        <v>44927</v>
      </c>
      <c r="E49" s="42">
        <v>45291</v>
      </c>
      <c r="F49" s="42">
        <f t="shared" si="15"/>
        <v>45107</v>
      </c>
      <c r="G49" s="112">
        <f>_xlfn.XLOOKUP(F49,'A-6 CMS Market Basket Index '!$AZ$3:$AZ$8,'A-6 CMS Market Basket Index '!$BF$3:$BF$8)</f>
        <v>1.0538000000000001</v>
      </c>
      <c r="H49" s="43">
        <f t="shared" si="9"/>
        <v>1076751</v>
      </c>
      <c r="I49" s="44">
        <f t="shared" si="10"/>
        <v>6571</v>
      </c>
      <c r="J49" s="65">
        <f t="shared" si="11"/>
        <v>163.86409983259779</v>
      </c>
      <c r="K49" s="76">
        <f t="shared" si="12"/>
        <v>172.67998840359155</v>
      </c>
      <c r="L49" s="51"/>
      <c r="M49" s="44">
        <v>1043181</v>
      </c>
      <c r="N49" s="44">
        <v>6312</v>
      </c>
      <c r="O49" s="65">
        <v>165.27</v>
      </c>
      <c r="P49" s="51">
        <f t="shared" si="13"/>
        <v>174.16152600000001</v>
      </c>
      <c r="Q49" s="44">
        <v>33570</v>
      </c>
      <c r="R49" s="44">
        <v>259</v>
      </c>
      <c r="S49" s="65">
        <v>129.61000000000001</v>
      </c>
      <c r="T49" s="51">
        <f t="shared" si="14"/>
        <v>136.58301800000001</v>
      </c>
      <c r="U49" s="46" t="s">
        <v>17</v>
      </c>
      <c r="V49" s="46">
        <v>84057</v>
      </c>
      <c r="W49" s="69" t="s">
        <v>15</v>
      </c>
      <c r="X49" s="70" t="s">
        <v>213</v>
      </c>
      <c r="Z49" s="47"/>
      <c r="AA49" s="267"/>
      <c r="AB49" s="48"/>
      <c r="AC49" s="48"/>
    </row>
    <row r="50" spans="1:29" s="46" customFormat="1" x14ac:dyDescent="0.25">
      <c r="A50" s="39" t="s">
        <v>245</v>
      </c>
      <c r="B50" s="40" t="s">
        <v>111</v>
      </c>
      <c r="C50" s="41" t="s">
        <v>90</v>
      </c>
      <c r="D50" s="42">
        <v>44927</v>
      </c>
      <c r="E50" s="42">
        <v>45291</v>
      </c>
      <c r="F50" s="42">
        <f t="shared" si="15"/>
        <v>45107</v>
      </c>
      <c r="G50" s="112">
        <f>_xlfn.XLOOKUP(F50,'A-6 CMS Market Basket Index '!$AZ$3:$AZ$8,'A-6 CMS Market Basket Index '!$BF$3:$BF$8)</f>
        <v>1.0538000000000001</v>
      </c>
      <c r="H50" s="43">
        <f t="shared" si="9"/>
        <v>1731961</v>
      </c>
      <c r="I50" s="44">
        <f t="shared" si="10"/>
        <v>10486</v>
      </c>
      <c r="J50" s="65">
        <f t="shared" si="11"/>
        <v>165.16889185580774</v>
      </c>
      <c r="K50" s="76">
        <f t="shared" si="12"/>
        <v>174.0549782376502</v>
      </c>
      <c r="L50" s="51"/>
      <c r="M50" s="44">
        <v>1731961</v>
      </c>
      <c r="N50" s="44">
        <v>10486</v>
      </c>
      <c r="O50" s="65">
        <v>165.17</v>
      </c>
      <c r="P50" s="51">
        <f t="shared" si="13"/>
        <v>174.05614600000001</v>
      </c>
      <c r="Q50" s="44"/>
      <c r="R50" s="44"/>
      <c r="S50" s="65"/>
      <c r="T50" s="51" t="str">
        <f t="shared" si="14"/>
        <v/>
      </c>
      <c r="U50" s="46" t="s">
        <v>45</v>
      </c>
      <c r="V50" s="46">
        <v>84020</v>
      </c>
      <c r="W50" s="69" t="s">
        <v>218</v>
      </c>
      <c r="X50" s="70" t="s">
        <v>209</v>
      </c>
      <c r="Z50" s="47"/>
      <c r="AA50" s="267"/>
      <c r="AB50" s="48"/>
      <c r="AC50" s="48"/>
    </row>
    <row r="51" spans="1:29" s="46" customFormat="1" x14ac:dyDescent="0.25">
      <c r="A51" s="39" t="s">
        <v>245</v>
      </c>
      <c r="B51" s="40" t="s">
        <v>117</v>
      </c>
      <c r="C51" s="41" t="s">
        <v>118</v>
      </c>
      <c r="D51" s="42">
        <v>44927</v>
      </c>
      <c r="E51" s="42">
        <v>45291</v>
      </c>
      <c r="F51" s="42">
        <f t="shared" si="15"/>
        <v>45107</v>
      </c>
      <c r="G51" s="112">
        <f>_xlfn.XLOOKUP(F51,'A-6 CMS Market Basket Index '!$AZ$3:$AZ$8,'A-6 CMS Market Basket Index '!$BF$3:$BF$8)</f>
        <v>1.0538000000000001</v>
      </c>
      <c r="H51" s="43">
        <f t="shared" si="9"/>
        <v>1055089</v>
      </c>
      <c r="I51" s="44">
        <f t="shared" si="10"/>
        <v>6381</v>
      </c>
      <c r="J51" s="65">
        <f t="shared" si="11"/>
        <v>165.34853471242752</v>
      </c>
      <c r="K51" s="76">
        <f t="shared" si="12"/>
        <v>174.24428587995612</v>
      </c>
      <c r="L51" s="51"/>
      <c r="M51" s="44">
        <v>726370</v>
      </c>
      <c r="N51" s="44">
        <v>4154</v>
      </c>
      <c r="O51" s="65">
        <v>174.86</v>
      </c>
      <c r="P51" s="51">
        <f t="shared" si="13"/>
        <v>184.26746800000004</v>
      </c>
      <c r="Q51" s="44">
        <v>328719</v>
      </c>
      <c r="R51" s="44">
        <v>2227</v>
      </c>
      <c r="S51" s="65">
        <v>147.61000000000001</v>
      </c>
      <c r="T51" s="51">
        <f t="shared" si="14"/>
        <v>155.55141800000001</v>
      </c>
      <c r="U51" s="46" t="s">
        <v>17</v>
      </c>
      <c r="V51" s="46">
        <v>84057</v>
      </c>
      <c r="W51" s="69" t="s">
        <v>15</v>
      </c>
      <c r="X51" s="70" t="s">
        <v>213</v>
      </c>
      <c r="Z51" s="47"/>
      <c r="AA51" s="267"/>
      <c r="AB51" s="48"/>
      <c r="AC51" s="48"/>
    </row>
    <row r="52" spans="1:29" s="46" customFormat="1" x14ac:dyDescent="0.25">
      <c r="A52" s="39" t="s">
        <v>245</v>
      </c>
      <c r="B52" s="40" t="s">
        <v>100</v>
      </c>
      <c r="C52" s="41" t="s">
        <v>57</v>
      </c>
      <c r="D52" s="42">
        <v>44927</v>
      </c>
      <c r="E52" s="42">
        <v>45291</v>
      </c>
      <c r="F52" s="42">
        <f t="shared" si="15"/>
        <v>45107</v>
      </c>
      <c r="G52" s="112">
        <f>_xlfn.XLOOKUP(F52,'A-6 CMS Market Basket Index '!$AZ$3:$AZ$8,'A-6 CMS Market Basket Index '!$BF$3:$BF$8)</f>
        <v>1.0538000000000001</v>
      </c>
      <c r="H52" s="43">
        <f t="shared" si="9"/>
        <v>422920</v>
      </c>
      <c r="I52" s="44">
        <f t="shared" si="10"/>
        <v>2555</v>
      </c>
      <c r="J52" s="65">
        <f t="shared" si="11"/>
        <v>165.52641878669277</v>
      </c>
      <c r="K52" s="76">
        <f t="shared" si="12"/>
        <v>174.43174011741687</v>
      </c>
      <c r="L52" s="51"/>
      <c r="M52" s="44">
        <v>182293</v>
      </c>
      <c r="N52" s="44">
        <v>1136</v>
      </c>
      <c r="O52" s="65">
        <v>160.47</v>
      </c>
      <c r="P52" s="51">
        <f t="shared" si="13"/>
        <v>169.103286</v>
      </c>
      <c r="Q52" s="44">
        <v>240627</v>
      </c>
      <c r="R52" s="44">
        <v>1419</v>
      </c>
      <c r="S52" s="65">
        <v>169.58</v>
      </c>
      <c r="T52" s="51">
        <f t="shared" si="14"/>
        <v>178.70340400000003</v>
      </c>
      <c r="U52" s="46" t="s">
        <v>101</v>
      </c>
      <c r="V52" s="46">
        <v>84095</v>
      </c>
      <c r="W52" s="69" t="s">
        <v>218</v>
      </c>
      <c r="X52" s="70" t="s">
        <v>209</v>
      </c>
      <c r="Z52" s="47"/>
      <c r="AA52" s="267"/>
      <c r="AB52" s="48"/>
      <c r="AC52" s="48"/>
    </row>
    <row r="53" spans="1:29" s="46" customFormat="1" x14ac:dyDescent="0.25">
      <c r="A53" s="39" t="s">
        <v>245</v>
      </c>
      <c r="B53" s="40" t="s">
        <v>69</v>
      </c>
      <c r="C53" s="41" t="s">
        <v>70</v>
      </c>
      <c r="D53" s="42">
        <v>44927</v>
      </c>
      <c r="E53" s="42">
        <v>45291</v>
      </c>
      <c r="F53" s="42">
        <f t="shared" si="15"/>
        <v>45107</v>
      </c>
      <c r="G53" s="112">
        <f>_xlfn.XLOOKUP(F53,'A-6 CMS Market Basket Index '!$AZ$3:$AZ$8,'A-6 CMS Market Basket Index '!$BF$3:$BF$8)</f>
        <v>1.0538000000000001</v>
      </c>
      <c r="H53" s="43">
        <f t="shared" si="9"/>
        <v>1429464</v>
      </c>
      <c r="I53" s="44">
        <f t="shared" si="10"/>
        <v>8510</v>
      </c>
      <c r="J53" s="65">
        <f t="shared" si="11"/>
        <v>167.97461809635723</v>
      </c>
      <c r="K53" s="76">
        <f t="shared" si="12"/>
        <v>177.01165254994126</v>
      </c>
      <c r="L53" s="51"/>
      <c r="M53" s="44">
        <v>430410</v>
      </c>
      <c r="N53" s="44">
        <v>4854</v>
      </c>
      <c r="O53" s="65">
        <v>88.67</v>
      </c>
      <c r="P53" s="51">
        <f t="shared" si="13"/>
        <v>93.440446000000009</v>
      </c>
      <c r="Q53" s="44">
        <v>999054</v>
      </c>
      <c r="R53" s="44">
        <v>3656</v>
      </c>
      <c r="S53" s="65">
        <v>273.26</v>
      </c>
      <c r="T53" s="51">
        <f t="shared" si="14"/>
        <v>287.961388</v>
      </c>
      <c r="U53" s="46" t="s">
        <v>48</v>
      </c>
      <c r="V53" s="46">
        <v>84123</v>
      </c>
      <c r="W53" s="69" t="s">
        <v>218</v>
      </c>
      <c r="X53" s="70" t="s">
        <v>209</v>
      </c>
      <c r="Z53" s="47"/>
      <c r="AA53" s="267"/>
      <c r="AB53" s="48"/>
      <c r="AC53" s="48"/>
    </row>
    <row r="54" spans="1:29" s="46" customFormat="1" x14ac:dyDescent="0.25">
      <c r="A54" s="39" t="s">
        <v>245</v>
      </c>
      <c r="B54" s="40" t="s">
        <v>85</v>
      </c>
      <c r="C54" s="41" t="s">
        <v>84</v>
      </c>
      <c r="D54" s="42">
        <v>44927</v>
      </c>
      <c r="E54" s="42">
        <v>45291</v>
      </c>
      <c r="F54" s="42">
        <f t="shared" si="15"/>
        <v>45107</v>
      </c>
      <c r="G54" s="112">
        <f>_xlfn.XLOOKUP(F54,'A-6 CMS Market Basket Index '!$AZ$3:$AZ$8,'A-6 CMS Market Basket Index '!$BF$3:$BF$8)</f>
        <v>1.0538000000000001</v>
      </c>
      <c r="H54" s="43">
        <f t="shared" si="9"/>
        <v>90912</v>
      </c>
      <c r="I54" s="44">
        <f t="shared" si="10"/>
        <v>522</v>
      </c>
      <c r="J54" s="65">
        <f t="shared" si="11"/>
        <v>174.16091954022988</v>
      </c>
      <c r="K54" s="76">
        <f t="shared" si="12"/>
        <v>183.53077701149425</v>
      </c>
      <c r="L54" s="51"/>
      <c r="M54" s="44">
        <v>82161</v>
      </c>
      <c r="N54" s="44">
        <v>414</v>
      </c>
      <c r="O54" s="65">
        <v>198.46</v>
      </c>
      <c r="P54" s="51">
        <f t="shared" si="13"/>
        <v>209.13714800000002</v>
      </c>
      <c r="Q54" s="44">
        <v>8751</v>
      </c>
      <c r="R54" s="44">
        <v>108</v>
      </c>
      <c r="S54" s="65">
        <v>81.03</v>
      </c>
      <c r="T54" s="51">
        <f t="shared" si="14"/>
        <v>85.389414000000002</v>
      </c>
      <c r="U54" s="46" t="s">
        <v>45</v>
      </c>
      <c r="V54" s="46">
        <v>84020</v>
      </c>
      <c r="W54" s="69" t="s">
        <v>218</v>
      </c>
      <c r="X54" s="70" t="s">
        <v>209</v>
      </c>
      <c r="Z54" s="47"/>
      <c r="AA54" s="267"/>
      <c r="AB54" s="48"/>
      <c r="AC54" s="48"/>
    </row>
    <row r="55" spans="1:29" s="46" customFormat="1" x14ac:dyDescent="0.25">
      <c r="A55" s="39" t="s">
        <v>245</v>
      </c>
      <c r="B55" s="40" t="s">
        <v>154</v>
      </c>
      <c r="C55" s="41" t="s">
        <v>155</v>
      </c>
      <c r="D55" s="42">
        <v>44927</v>
      </c>
      <c r="E55" s="42">
        <v>45291</v>
      </c>
      <c r="F55" s="42">
        <f t="shared" si="15"/>
        <v>45107</v>
      </c>
      <c r="G55" s="112">
        <f>_xlfn.XLOOKUP(F55,'A-6 CMS Market Basket Index '!$AZ$3:$AZ$8,'A-6 CMS Market Basket Index '!$BF$3:$BF$8)</f>
        <v>1.0538000000000001</v>
      </c>
      <c r="H55" s="43">
        <f t="shared" si="9"/>
        <v>731670</v>
      </c>
      <c r="I55" s="44">
        <f t="shared" si="10"/>
        <v>4080</v>
      </c>
      <c r="J55" s="65">
        <f t="shared" si="11"/>
        <v>179.33088235294119</v>
      </c>
      <c r="K55" s="76">
        <f t="shared" si="12"/>
        <v>188.97888382352943</v>
      </c>
      <c r="L55" s="51"/>
      <c r="M55" s="44">
        <v>570670</v>
      </c>
      <c r="N55" s="44">
        <v>2953</v>
      </c>
      <c r="O55" s="65">
        <v>193.25</v>
      </c>
      <c r="P55" s="51">
        <f t="shared" si="13"/>
        <v>203.64685</v>
      </c>
      <c r="Q55" s="44">
        <v>161000</v>
      </c>
      <c r="R55" s="44">
        <v>1127</v>
      </c>
      <c r="S55" s="65">
        <v>142.86000000000001</v>
      </c>
      <c r="T55" s="51">
        <f t="shared" si="14"/>
        <v>150.54586800000001</v>
      </c>
      <c r="U55" s="46" t="s">
        <v>47</v>
      </c>
      <c r="V55" s="46">
        <v>84341</v>
      </c>
      <c r="W55" s="69" t="s">
        <v>210</v>
      </c>
      <c r="X55" s="70" t="s">
        <v>209</v>
      </c>
      <c r="Z55" s="47"/>
      <c r="AA55" s="267"/>
      <c r="AB55" s="48"/>
      <c r="AC55" s="48"/>
    </row>
    <row r="56" spans="1:29" s="46" customFormat="1" x14ac:dyDescent="0.25">
      <c r="A56" s="39" t="s">
        <v>245</v>
      </c>
      <c r="B56" s="40" t="s">
        <v>187</v>
      </c>
      <c r="C56" s="41" t="s">
        <v>188</v>
      </c>
      <c r="D56" s="42">
        <v>44927</v>
      </c>
      <c r="E56" s="42">
        <v>45291</v>
      </c>
      <c r="F56" s="42">
        <f t="shared" si="15"/>
        <v>45107</v>
      </c>
      <c r="G56" s="112">
        <f>_xlfn.XLOOKUP(F56,'A-6 CMS Market Basket Index '!$AZ$3:$AZ$8,'A-6 CMS Market Basket Index '!$BF$3:$BF$8)</f>
        <v>1.0538000000000001</v>
      </c>
      <c r="H56" s="43">
        <f t="shared" si="9"/>
        <v>118733</v>
      </c>
      <c r="I56" s="44">
        <f t="shared" si="10"/>
        <v>659</v>
      </c>
      <c r="J56" s="65">
        <f t="shared" si="11"/>
        <v>180.17147192716237</v>
      </c>
      <c r="K56" s="76">
        <f t="shared" si="12"/>
        <v>189.86469711684373</v>
      </c>
      <c r="L56" s="51"/>
      <c r="M56" s="44">
        <v>118733</v>
      </c>
      <c r="N56" s="44">
        <v>659</v>
      </c>
      <c r="O56" s="65">
        <v>180.17</v>
      </c>
      <c r="P56" s="51">
        <f t="shared" si="13"/>
        <v>189.863146</v>
      </c>
      <c r="Q56" s="44"/>
      <c r="R56" s="44"/>
      <c r="S56" s="65"/>
      <c r="T56" s="51" t="str">
        <f t="shared" si="14"/>
        <v/>
      </c>
      <c r="U56" s="46" t="s">
        <v>18</v>
      </c>
      <c r="V56" s="46">
        <v>84105</v>
      </c>
      <c r="W56" s="69" t="s">
        <v>218</v>
      </c>
      <c r="X56" s="70" t="s">
        <v>209</v>
      </c>
      <c r="Z56" s="47"/>
      <c r="AA56" s="267"/>
      <c r="AB56" s="48"/>
      <c r="AC56" s="48"/>
    </row>
    <row r="57" spans="1:29" s="46" customFormat="1" x14ac:dyDescent="0.25">
      <c r="A57" s="39" t="s">
        <v>245</v>
      </c>
      <c r="B57" s="40" t="s">
        <v>143</v>
      </c>
      <c r="C57" s="41" t="s">
        <v>144</v>
      </c>
      <c r="D57" s="42">
        <v>44927</v>
      </c>
      <c r="E57" s="42">
        <v>45291</v>
      </c>
      <c r="F57" s="42">
        <f t="shared" si="15"/>
        <v>45107</v>
      </c>
      <c r="G57" s="112">
        <f>_xlfn.XLOOKUP(F57,'A-6 CMS Market Basket Index '!$AZ$3:$AZ$8,'A-6 CMS Market Basket Index '!$BF$3:$BF$8)</f>
        <v>1.0538000000000001</v>
      </c>
      <c r="H57" s="43">
        <f t="shared" si="9"/>
        <v>938623</v>
      </c>
      <c r="I57" s="44">
        <f t="shared" si="10"/>
        <v>5173</v>
      </c>
      <c r="J57" s="65">
        <f t="shared" si="11"/>
        <v>181.446549391069</v>
      </c>
      <c r="K57" s="76">
        <f t="shared" si="12"/>
        <v>191.20837374830853</v>
      </c>
      <c r="L57" s="51"/>
      <c r="M57" s="44">
        <v>937142</v>
      </c>
      <c r="N57" s="44">
        <v>5157</v>
      </c>
      <c r="O57" s="65">
        <v>181.72</v>
      </c>
      <c r="P57" s="51">
        <f t="shared" si="13"/>
        <v>191.49653600000002</v>
      </c>
      <c r="Q57" s="44">
        <v>1481</v>
      </c>
      <c r="R57" s="44">
        <v>16</v>
      </c>
      <c r="S57" s="65">
        <v>92.56</v>
      </c>
      <c r="T57" s="51">
        <f t="shared" si="14"/>
        <v>97.539728000000011</v>
      </c>
      <c r="U57" s="46" t="s">
        <v>50</v>
      </c>
      <c r="V57" s="46">
        <v>84341</v>
      </c>
      <c r="W57" s="69" t="s">
        <v>210</v>
      </c>
      <c r="X57" s="70" t="s">
        <v>209</v>
      </c>
      <c r="Z57" s="47"/>
      <c r="AA57" s="267"/>
      <c r="AB57" s="48"/>
      <c r="AC57" s="48"/>
    </row>
    <row r="58" spans="1:29" s="46" customFormat="1" x14ac:dyDescent="0.25">
      <c r="A58" s="50" t="s">
        <v>246</v>
      </c>
      <c r="B58" s="86" t="s">
        <v>27</v>
      </c>
      <c r="C58" s="87">
        <v>467038</v>
      </c>
      <c r="D58" s="88">
        <v>45108</v>
      </c>
      <c r="E58" s="88">
        <v>45473</v>
      </c>
      <c r="F58" s="42">
        <f>((D58+E58)/2)+1</f>
        <v>45291.5</v>
      </c>
      <c r="G58" s="112">
        <f>_xlfn.XLOOKUP(F58,'A-6 CMS Market Basket Index '!$AZ$3:$AZ$8,'A-6 CMS Market Basket Index '!$BF$3:$BF$8)</f>
        <v>1.0366</v>
      </c>
      <c r="H58" s="43">
        <f t="shared" si="9"/>
        <v>81299</v>
      </c>
      <c r="I58" s="44">
        <f t="shared" si="10"/>
        <v>428</v>
      </c>
      <c r="J58" s="65">
        <f t="shared" si="11"/>
        <v>189.95093457943926</v>
      </c>
      <c r="K58" s="76">
        <f t="shared" si="12"/>
        <v>196.90313878504674</v>
      </c>
      <c r="L58" s="51"/>
      <c r="M58" s="49">
        <v>81299</v>
      </c>
      <c r="N58" s="49">
        <v>428</v>
      </c>
      <c r="O58" s="80">
        <v>189.95</v>
      </c>
      <c r="P58" s="51">
        <f t="shared" si="13"/>
        <v>196.90216999999998</v>
      </c>
      <c r="Q58" s="49"/>
      <c r="R58" s="49"/>
      <c r="S58" s="80"/>
      <c r="T58" s="51" t="str">
        <f t="shared" si="14"/>
        <v/>
      </c>
      <c r="U58" s="90" t="s">
        <v>26</v>
      </c>
      <c r="V58" s="90">
        <v>84713</v>
      </c>
      <c r="W58" s="91" t="s">
        <v>208</v>
      </c>
      <c r="X58" s="92" t="s">
        <v>209</v>
      </c>
      <c r="Y58" s="52" t="s">
        <v>24</v>
      </c>
      <c r="Z58" s="53" t="s">
        <v>25</v>
      </c>
      <c r="AA58" s="267"/>
      <c r="AB58" s="48"/>
      <c r="AC58" s="48"/>
    </row>
    <row r="59" spans="1:29" s="46" customFormat="1" x14ac:dyDescent="0.25">
      <c r="A59" s="39" t="s">
        <v>245</v>
      </c>
      <c r="B59" s="40" t="s">
        <v>86</v>
      </c>
      <c r="C59" s="41" t="s">
        <v>87</v>
      </c>
      <c r="D59" s="42">
        <v>44927</v>
      </c>
      <c r="E59" s="42">
        <v>45291</v>
      </c>
      <c r="F59" s="42">
        <f t="shared" ref="F59:F70" si="16">((D59+E59)/2)-2</f>
        <v>45107</v>
      </c>
      <c r="G59" s="112">
        <f>_xlfn.XLOOKUP(F59,'A-6 CMS Market Basket Index '!$AZ$3:$AZ$8,'A-6 CMS Market Basket Index '!$BF$3:$BF$8)</f>
        <v>1.0538000000000001</v>
      </c>
      <c r="H59" s="43">
        <f t="shared" si="9"/>
        <v>334598</v>
      </c>
      <c r="I59" s="44">
        <f t="shared" si="10"/>
        <v>1785</v>
      </c>
      <c r="J59" s="65">
        <f t="shared" si="11"/>
        <v>187.4498599439776</v>
      </c>
      <c r="K59" s="76">
        <f t="shared" si="12"/>
        <v>197.53466240896361</v>
      </c>
      <c r="L59" s="51"/>
      <c r="M59" s="44">
        <v>285374</v>
      </c>
      <c r="N59" s="44">
        <v>1368</v>
      </c>
      <c r="O59" s="65">
        <v>208.61</v>
      </c>
      <c r="P59" s="51">
        <f t="shared" si="13"/>
        <v>219.83321800000002</v>
      </c>
      <c r="Q59" s="44">
        <v>49224</v>
      </c>
      <c r="R59" s="44">
        <v>417</v>
      </c>
      <c r="S59" s="65">
        <v>118.04</v>
      </c>
      <c r="T59" s="51">
        <f t="shared" si="14"/>
        <v>124.39055200000001</v>
      </c>
      <c r="U59" s="46" t="s">
        <v>50</v>
      </c>
      <c r="V59" s="46">
        <v>84341</v>
      </c>
      <c r="W59" s="69" t="s">
        <v>210</v>
      </c>
      <c r="X59" s="70" t="s">
        <v>209</v>
      </c>
      <c r="Z59" s="47"/>
      <c r="AA59" s="267"/>
      <c r="AB59" s="48"/>
      <c r="AC59" s="48"/>
    </row>
    <row r="60" spans="1:29" s="46" customFormat="1" x14ac:dyDescent="0.25">
      <c r="A60" s="39" t="s">
        <v>245</v>
      </c>
      <c r="B60" s="40" t="s">
        <v>116</v>
      </c>
      <c r="C60" s="41" t="s">
        <v>114</v>
      </c>
      <c r="D60" s="42">
        <v>44927</v>
      </c>
      <c r="E60" s="42">
        <v>45291</v>
      </c>
      <c r="F60" s="42">
        <f t="shared" si="16"/>
        <v>45107</v>
      </c>
      <c r="G60" s="112">
        <f>_xlfn.XLOOKUP(F60,'A-6 CMS Market Basket Index '!$AZ$3:$AZ$8,'A-6 CMS Market Basket Index '!$BF$3:$BF$8)</f>
        <v>1.0538000000000001</v>
      </c>
      <c r="H60" s="43">
        <f t="shared" si="9"/>
        <v>930616</v>
      </c>
      <c r="I60" s="44">
        <f t="shared" si="10"/>
        <v>4902</v>
      </c>
      <c r="J60" s="65">
        <f t="shared" si="11"/>
        <v>189.84414524683802</v>
      </c>
      <c r="K60" s="76">
        <f t="shared" si="12"/>
        <v>200.05776026111792</v>
      </c>
      <c r="L60" s="51"/>
      <c r="M60" s="44">
        <v>737153</v>
      </c>
      <c r="N60" s="44">
        <v>3462</v>
      </c>
      <c r="O60" s="65">
        <v>212.93</v>
      </c>
      <c r="P60" s="51">
        <f t="shared" si="13"/>
        <v>224.38563400000001</v>
      </c>
      <c r="Q60" s="44">
        <v>193463</v>
      </c>
      <c r="R60" s="44">
        <v>1440</v>
      </c>
      <c r="S60" s="65">
        <v>134.35</v>
      </c>
      <c r="T60" s="51">
        <f t="shared" si="14"/>
        <v>141.57803000000001</v>
      </c>
      <c r="U60" s="46" t="s">
        <v>62</v>
      </c>
      <c r="V60" s="46">
        <v>84770</v>
      </c>
      <c r="W60" s="69" t="s">
        <v>223</v>
      </c>
      <c r="X60" s="70" t="s">
        <v>209</v>
      </c>
      <c r="Z60" s="47"/>
      <c r="AA60" s="267"/>
      <c r="AB60" s="48"/>
      <c r="AC60" s="48"/>
    </row>
    <row r="61" spans="1:29" s="46" customFormat="1" x14ac:dyDescent="0.25">
      <c r="A61" s="39" t="s">
        <v>245</v>
      </c>
      <c r="B61" s="40" t="s">
        <v>65</v>
      </c>
      <c r="C61" s="41" t="s">
        <v>66</v>
      </c>
      <c r="D61" s="42">
        <v>44927</v>
      </c>
      <c r="E61" s="42">
        <v>45291</v>
      </c>
      <c r="F61" s="42">
        <f t="shared" si="16"/>
        <v>45107</v>
      </c>
      <c r="G61" s="112">
        <f>_xlfn.XLOOKUP(F61,'A-6 CMS Market Basket Index '!$AZ$3:$AZ$8,'A-6 CMS Market Basket Index '!$BF$3:$BF$8)</f>
        <v>1.0538000000000001</v>
      </c>
      <c r="H61" s="43">
        <f t="shared" si="9"/>
        <v>113420</v>
      </c>
      <c r="I61" s="44">
        <f t="shared" si="10"/>
        <v>591</v>
      </c>
      <c r="J61" s="65">
        <f t="shared" si="11"/>
        <v>191.91201353637902</v>
      </c>
      <c r="K61" s="76">
        <f t="shared" si="12"/>
        <v>202.23687986463622</v>
      </c>
      <c r="L61" s="51"/>
      <c r="M61" s="44">
        <v>113420</v>
      </c>
      <c r="N61" s="44">
        <v>591</v>
      </c>
      <c r="O61" s="65">
        <v>191.91</v>
      </c>
      <c r="P61" s="51">
        <f t="shared" si="13"/>
        <v>202.234758</v>
      </c>
      <c r="Q61" s="44"/>
      <c r="R61" s="44"/>
      <c r="S61" s="65"/>
      <c r="T61" s="51" t="str">
        <f t="shared" si="14"/>
        <v/>
      </c>
      <c r="U61" s="46" t="s">
        <v>39</v>
      </c>
      <c r="V61" s="46">
        <v>84041</v>
      </c>
      <c r="W61" s="69" t="s">
        <v>212</v>
      </c>
      <c r="X61" s="70" t="s">
        <v>213</v>
      </c>
      <c r="Z61" s="47"/>
      <c r="AA61" s="267"/>
      <c r="AB61" s="48"/>
      <c r="AC61" s="48"/>
    </row>
    <row r="62" spans="1:29" s="46" customFormat="1" x14ac:dyDescent="0.25">
      <c r="A62" s="39" t="s">
        <v>245</v>
      </c>
      <c r="B62" s="40" t="s">
        <v>115</v>
      </c>
      <c r="C62" s="41" t="s">
        <v>113</v>
      </c>
      <c r="D62" s="42">
        <v>44927</v>
      </c>
      <c r="E62" s="42">
        <v>45291</v>
      </c>
      <c r="F62" s="42">
        <f t="shared" si="16"/>
        <v>45107</v>
      </c>
      <c r="G62" s="112">
        <f>_xlfn.XLOOKUP(F62,'A-6 CMS Market Basket Index '!$AZ$3:$AZ$8,'A-6 CMS Market Basket Index '!$BF$3:$BF$8)</f>
        <v>1.0538000000000001</v>
      </c>
      <c r="H62" s="43">
        <f t="shared" si="9"/>
        <v>4304197</v>
      </c>
      <c r="I62" s="44">
        <f t="shared" si="10"/>
        <v>22211</v>
      </c>
      <c r="J62" s="65">
        <f t="shared" si="11"/>
        <v>193.78672729728513</v>
      </c>
      <c r="K62" s="76">
        <f t="shared" si="12"/>
        <v>204.21245322587907</v>
      </c>
      <c r="L62" s="51"/>
      <c r="M62" s="44">
        <v>3107105</v>
      </c>
      <c r="N62" s="44">
        <v>15070</v>
      </c>
      <c r="O62" s="65">
        <v>206.18</v>
      </c>
      <c r="P62" s="51">
        <f t="shared" si="13"/>
        <v>217.27248400000002</v>
      </c>
      <c r="Q62" s="44">
        <v>1197092</v>
      </c>
      <c r="R62" s="44">
        <v>7141</v>
      </c>
      <c r="S62" s="65">
        <v>167.64</v>
      </c>
      <c r="T62" s="51">
        <f t="shared" si="14"/>
        <v>176.659032</v>
      </c>
      <c r="U62" s="46" t="s">
        <v>48</v>
      </c>
      <c r="V62" s="46">
        <v>84123</v>
      </c>
      <c r="W62" s="69" t="s">
        <v>218</v>
      </c>
      <c r="X62" s="70" t="s">
        <v>209</v>
      </c>
      <c r="Z62" s="47"/>
      <c r="AA62" s="267"/>
      <c r="AB62" s="48"/>
      <c r="AC62" s="48"/>
    </row>
    <row r="63" spans="1:29" s="46" customFormat="1" x14ac:dyDescent="0.25">
      <c r="A63" s="39" t="s">
        <v>245</v>
      </c>
      <c r="B63" s="40" t="s">
        <v>167</v>
      </c>
      <c r="C63" s="41" t="s">
        <v>168</v>
      </c>
      <c r="D63" s="42">
        <v>44927</v>
      </c>
      <c r="E63" s="42">
        <v>45291</v>
      </c>
      <c r="F63" s="42">
        <f t="shared" si="16"/>
        <v>45107</v>
      </c>
      <c r="G63" s="112">
        <f>_xlfn.XLOOKUP(F63,'A-6 CMS Market Basket Index '!$AZ$3:$AZ$8,'A-6 CMS Market Basket Index '!$BF$3:$BF$8)</f>
        <v>1.0538000000000001</v>
      </c>
      <c r="H63" s="43">
        <f t="shared" si="9"/>
        <v>10517</v>
      </c>
      <c r="I63" s="44">
        <f t="shared" si="10"/>
        <v>53</v>
      </c>
      <c r="J63" s="65">
        <f t="shared" si="11"/>
        <v>198.43396226415095</v>
      </c>
      <c r="K63" s="76">
        <f t="shared" si="12"/>
        <v>209.10970943396228</v>
      </c>
      <c r="L63" s="51"/>
      <c r="M63" s="44">
        <v>6621</v>
      </c>
      <c r="N63" s="44">
        <v>17</v>
      </c>
      <c r="O63" s="65">
        <v>389.47</v>
      </c>
      <c r="P63" s="51">
        <f t="shared" si="13"/>
        <v>410.42348600000008</v>
      </c>
      <c r="Q63" s="44">
        <v>3896</v>
      </c>
      <c r="R63" s="44">
        <v>36</v>
      </c>
      <c r="S63" s="65">
        <v>108.22</v>
      </c>
      <c r="T63" s="51">
        <f t="shared" si="14"/>
        <v>114.042236</v>
      </c>
      <c r="U63" s="46" t="s">
        <v>46</v>
      </c>
      <c r="V63" s="46">
        <v>84660</v>
      </c>
      <c r="W63" s="69" t="s">
        <v>15</v>
      </c>
      <c r="X63" s="70" t="s">
        <v>213</v>
      </c>
      <c r="Z63" s="47"/>
      <c r="AA63" s="267"/>
      <c r="AB63" s="48"/>
      <c r="AC63" s="48"/>
    </row>
    <row r="64" spans="1:29" s="46" customFormat="1" x14ac:dyDescent="0.25">
      <c r="A64" s="39" t="s">
        <v>245</v>
      </c>
      <c r="B64" s="40" t="s">
        <v>192</v>
      </c>
      <c r="C64" s="41" t="s">
        <v>193</v>
      </c>
      <c r="D64" s="42">
        <v>44927</v>
      </c>
      <c r="E64" s="42">
        <v>45291</v>
      </c>
      <c r="F64" s="42">
        <f t="shared" si="16"/>
        <v>45107</v>
      </c>
      <c r="G64" s="112">
        <f>_xlfn.XLOOKUP(F64,'A-6 CMS Market Basket Index '!$AZ$3:$AZ$8,'A-6 CMS Market Basket Index '!$BF$3:$BF$8)</f>
        <v>1.0538000000000001</v>
      </c>
      <c r="H64" s="43">
        <f t="shared" si="9"/>
        <v>752691</v>
      </c>
      <c r="I64" s="44">
        <f t="shared" si="10"/>
        <v>3649</v>
      </c>
      <c r="J64" s="65">
        <f t="shared" si="11"/>
        <v>206.27322554124419</v>
      </c>
      <c r="K64" s="76">
        <f t="shared" si="12"/>
        <v>217.37072507536314</v>
      </c>
      <c r="L64" s="51"/>
      <c r="M64" s="44">
        <v>524739</v>
      </c>
      <c r="N64" s="44">
        <v>1692</v>
      </c>
      <c r="O64" s="65">
        <v>310.13</v>
      </c>
      <c r="P64" s="51">
        <f t="shared" si="13"/>
        <v>326.81499400000001</v>
      </c>
      <c r="Q64" s="44">
        <v>227952</v>
      </c>
      <c r="R64" s="44">
        <v>1957</v>
      </c>
      <c r="S64" s="65">
        <v>116.48</v>
      </c>
      <c r="T64" s="51">
        <f t="shared" si="14"/>
        <v>122.74662400000001</v>
      </c>
      <c r="U64" s="46" t="s">
        <v>62</v>
      </c>
      <c r="V64" s="46">
        <v>84790</v>
      </c>
      <c r="W64" s="69" t="s">
        <v>223</v>
      </c>
      <c r="X64" s="70" t="s">
        <v>209</v>
      </c>
      <c r="Z64" s="47"/>
      <c r="AA64" s="267"/>
      <c r="AB64" s="48"/>
      <c r="AC64" s="48"/>
    </row>
    <row r="65" spans="1:29" s="46" customFormat="1" x14ac:dyDescent="0.25">
      <c r="A65" s="39" t="s">
        <v>245</v>
      </c>
      <c r="B65" s="40" t="s">
        <v>180</v>
      </c>
      <c r="C65" s="41" t="s">
        <v>181</v>
      </c>
      <c r="D65" s="42">
        <v>44927</v>
      </c>
      <c r="E65" s="42">
        <v>45291</v>
      </c>
      <c r="F65" s="42">
        <f t="shared" si="16"/>
        <v>45107</v>
      </c>
      <c r="G65" s="112">
        <f>_xlfn.XLOOKUP(F65,'A-6 CMS Market Basket Index '!$AZ$3:$AZ$8,'A-6 CMS Market Basket Index '!$BF$3:$BF$8)</f>
        <v>1.0538000000000001</v>
      </c>
      <c r="H65" s="43">
        <f t="shared" si="9"/>
        <v>2174634</v>
      </c>
      <c r="I65" s="44">
        <f t="shared" si="10"/>
        <v>10537</v>
      </c>
      <c r="J65" s="65">
        <f t="shared" si="11"/>
        <v>206.3807535351618</v>
      </c>
      <c r="K65" s="76">
        <f t="shared" si="12"/>
        <v>217.48403807535351</v>
      </c>
      <c r="L65" s="51"/>
      <c r="M65" s="44">
        <v>1980246</v>
      </c>
      <c r="N65" s="44">
        <v>8094</v>
      </c>
      <c r="O65" s="65">
        <v>244.66</v>
      </c>
      <c r="P65" s="51">
        <f t="shared" si="13"/>
        <v>257.82270800000003</v>
      </c>
      <c r="Q65" s="44">
        <v>194388</v>
      </c>
      <c r="R65" s="44">
        <v>2443</v>
      </c>
      <c r="S65" s="65">
        <v>79.569999999999993</v>
      </c>
      <c r="T65" s="51">
        <f t="shared" si="14"/>
        <v>83.850865999999996</v>
      </c>
      <c r="U65" s="46" t="s">
        <v>62</v>
      </c>
      <c r="V65" s="46">
        <v>84770</v>
      </c>
      <c r="W65" s="69" t="s">
        <v>223</v>
      </c>
      <c r="X65" s="70" t="s">
        <v>209</v>
      </c>
      <c r="Z65" s="47"/>
      <c r="AA65" s="267"/>
      <c r="AB65" s="48"/>
      <c r="AC65" s="48"/>
    </row>
    <row r="66" spans="1:29" s="46" customFormat="1" x14ac:dyDescent="0.25">
      <c r="A66" s="39" t="s">
        <v>245</v>
      </c>
      <c r="B66" s="40" t="s">
        <v>95</v>
      </c>
      <c r="C66" s="41" t="s">
        <v>96</v>
      </c>
      <c r="D66" s="42">
        <v>44927</v>
      </c>
      <c r="E66" s="42">
        <v>45291</v>
      </c>
      <c r="F66" s="42">
        <f t="shared" si="16"/>
        <v>45107</v>
      </c>
      <c r="G66" s="112">
        <f>_xlfn.XLOOKUP(F66,'A-6 CMS Market Basket Index '!$AZ$3:$AZ$8,'A-6 CMS Market Basket Index '!$BF$3:$BF$8)</f>
        <v>1.0538000000000001</v>
      </c>
      <c r="H66" s="43">
        <f t="shared" si="9"/>
        <v>367435</v>
      </c>
      <c r="I66" s="44">
        <f t="shared" si="10"/>
        <v>1780</v>
      </c>
      <c r="J66" s="65">
        <f t="shared" si="11"/>
        <v>206.42415730337078</v>
      </c>
      <c r="K66" s="76">
        <f t="shared" si="12"/>
        <v>217.52977696629213</v>
      </c>
      <c r="L66" s="51"/>
      <c r="M66" s="44">
        <v>367435</v>
      </c>
      <c r="N66" s="44">
        <v>1780</v>
      </c>
      <c r="O66" s="65">
        <v>206.42</v>
      </c>
      <c r="P66" s="51">
        <f t="shared" si="13"/>
        <v>217.525396</v>
      </c>
      <c r="Q66" s="44"/>
      <c r="R66" s="44"/>
      <c r="S66" s="65"/>
      <c r="T66" s="51" t="str">
        <f t="shared" si="14"/>
        <v/>
      </c>
      <c r="U66" s="46" t="s">
        <v>97</v>
      </c>
      <c r="V66" s="46">
        <v>84015</v>
      </c>
      <c r="W66" s="69" t="s">
        <v>212</v>
      </c>
      <c r="X66" s="70" t="s">
        <v>213</v>
      </c>
      <c r="Z66" s="47"/>
      <c r="AA66" s="267"/>
      <c r="AB66" s="48"/>
      <c r="AC66" s="48"/>
    </row>
    <row r="67" spans="1:29" s="46" customFormat="1" x14ac:dyDescent="0.25">
      <c r="A67" s="39" t="s">
        <v>245</v>
      </c>
      <c r="B67" s="40" t="s">
        <v>78</v>
      </c>
      <c r="C67" s="41" t="s">
        <v>79</v>
      </c>
      <c r="D67" s="42">
        <v>44927</v>
      </c>
      <c r="E67" s="42">
        <v>45291</v>
      </c>
      <c r="F67" s="42">
        <f t="shared" si="16"/>
        <v>45107</v>
      </c>
      <c r="G67" s="112">
        <f>_xlfn.XLOOKUP(F67,'A-6 CMS Market Basket Index '!$AZ$3:$AZ$8,'A-6 CMS Market Basket Index '!$BF$3:$BF$8)</f>
        <v>1.0538000000000001</v>
      </c>
      <c r="H67" s="43">
        <f t="shared" si="9"/>
        <v>274792</v>
      </c>
      <c r="I67" s="44">
        <f t="shared" si="10"/>
        <v>1301</v>
      </c>
      <c r="J67" s="65">
        <f t="shared" si="11"/>
        <v>211.21598770176786</v>
      </c>
      <c r="K67" s="76">
        <f t="shared" si="12"/>
        <v>222.579407840123</v>
      </c>
      <c r="L67" s="51"/>
      <c r="M67" s="44">
        <v>264713</v>
      </c>
      <c r="N67" s="44">
        <v>1248</v>
      </c>
      <c r="O67" s="65">
        <v>212.11</v>
      </c>
      <c r="P67" s="51">
        <f t="shared" si="13"/>
        <v>223.52151800000004</v>
      </c>
      <c r="Q67" s="44">
        <v>10079</v>
      </c>
      <c r="R67" s="44">
        <v>53</v>
      </c>
      <c r="S67" s="65">
        <v>190.17</v>
      </c>
      <c r="T67" s="51">
        <f t="shared" si="14"/>
        <v>200.40114600000001</v>
      </c>
      <c r="U67" s="46" t="s">
        <v>80</v>
      </c>
      <c r="V67" s="46">
        <v>84654</v>
      </c>
      <c r="W67" s="69" t="s">
        <v>221</v>
      </c>
      <c r="X67" s="70" t="s">
        <v>209</v>
      </c>
      <c r="Z67" s="47"/>
      <c r="AA67" s="267"/>
      <c r="AB67" s="48"/>
      <c r="AC67" s="48"/>
    </row>
    <row r="68" spans="1:29" s="46" customFormat="1" x14ac:dyDescent="0.25">
      <c r="A68" s="39" t="s">
        <v>245</v>
      </c>
      <c r="B68" s="40" t="s">
        <v>195</v>
      </c>
      <c r="C68" s="41" t="s">
        <v>194</v>
      </c>
      <c r="D68" s="42">
        <v>44927</v>
      </c>
      <c r="E68" s="42">
        <v>45291</v>
      </c>
      <c r="F68" s="42">
        <f t="shared" si="16"/>
        <v>45107</v>
      </c>
      <c r="G68" s="112">
        <f>_xlfn.XLOOKUP(F68,'A-6 CMS Market Basket Index '!$AZ$3:$AZ$8,'A-6 CMS Market Basket Index '!$BF$3:$BF$8)</f>
        <v>1.0538000000000001</v>
      </c>
      <c r="H68" s="43">
        <f t="shared" si="9"/>
        <v>40100</v>
      </c>
      <c r="I68" s="44">
        <f t="shared" si="10"/>
        <v>187</v>
      </c>
      <c r="J68" s="65">
        <f t="shared" si="11"/>
        <v>214.43850267379679</v>
      </c>
      <c r="K68" s="76">
        <f t="shared" si="12"/>
        <v>225.97529411764708</v>
      </c>
      <c r="L68" s="51"/>
      <c r="M68" s="44">
        <v>40100</v>
      </c>
      <c r="N68" s="44">
        <v>187</v>
      </c>
      <c r="O68" s="65">
        <v>214.44</v>
      </c>
      <c r="P68" s="51">
        <f t="shared" si="13"/>
        <v>225.97687200000001</v>
      </c>
      <c r="Q68" s="44"/>
      <c r="R68" s="44"/>
      <c r="S68" s="65"/>
      <c r="T68" s="51" t="str">
        <f t="shared" si="14"/>
        <v/>
      </c>
      <c r="U68" s="46" t="s">
        <v>50</v>
      </c>
      <c r="V68" s="46">
        <v>84321</v>
      </c>
      <c r="W68" s="69" t="s">
        <v>210</v>
      </c>
      <c r="X68" s="70" t="s">
        <v>209</v>
      </c>
      <c r="Z68" s="47"/>
      <c r="AA68" s="267"/>
      <c r="AB68" s="48"/>
      <c r="AC68" s="48"/>
    </row>
    <row r="69" spans="1:29" s="46" customFormat="1" x14ac:dyDescent="0.25">
      <c r="A69" s="39" t="s">
        <v>245</v>
      </c>
      <c r="B69" s="40" t="s">
        <v>171</v>
      </c>
      <c r="C69" s="41" t="s">
        <v>172</v>
      </c>
      <c r="D69" s="42">
        <v>44927</v>
      </c>
      <c r="E69" s="42">
        <v>45291</v>
      </c>
      <c r="F69" s="42">
        <f t="shared" si="16"/>
        <v>45107</v>
      </c>
      <c r="G69" s="112">
        <f>_xlfn.XLOOKUP(F69,'A-6 CMS Market Basket Index '!$AZ$3:$AZ$8,'A-6 CMS Market Basket Index '!$BF$3:$BF$8)</f>
        <v>1.0538000000000001</v>
      </c>
      <c r="H69" s="43">
        <f t="shared" si="9"/>
        <v>385005</v>
      </c>
      <c r="I69" s="44">
        <f t="shared" si="10"/>
        <v>1794</v>
      </c>
      <c r="J69" s="65">
        <f t="shared" si="11"/>
        <v>214.60702341137124</v>
      </c>
      <c r="K69" s="76">
        <f t="shared" si="12"/>
        <v>226.15288127090304</v>
      </c>
      <c r="L69" s="51"/>
      <c r="M69" s="44">
        <v>385005</v>
      </c>
      <c r="N69" s="44">
        <v>1794</v>
      </c>
      <c r="O69" s="65">
        <v>214.61</v>
      </c>
      <c r="P69" s="51">
        <f t="shared" si="13"/>
        <v>226.15601800000002</v>
      </c>
      <c r="Q69" s="44"/>
      <c r="R69" s="44"/>
      <c r="S69" s="65"/>
      <c r="T69" s="51" t="str">
        <f t="shared" si="14"/>
        <v/>
      </c>
      <c r="U69" s="46" t="s">
        <v>173</v>
      </c>
      <c r="V69" s="46">
        <v>84117</v>
      </c>
      <c r="W69" s="69" t="s">
        <v>218</v>
      </c>
      <c r="X69" s="70" t="s">
        <v>209</v>
      </c>
      <c r="Z69" s="47"/>
      <c r="AA69" s="267"/>
      <c r="AB69" s="48"/>
      <c r="AC69" s="48"/>
    </row>
    <row r="70" spans="1:29" s="46" customFormat="1" x14ac:dyDescent="0.25">
      <c r="A70" s="39" t="s">
        <v>245</v>
      </c>
      <c r="B70" s="40" t="s">
        <v>67</v>
      </c>
      <c r="C70" s="41" t="s">
        <v>68</v>
      </c>
      <c r="D70" s="42">
        <v>44927</v>
      </c>
      <c r="E70" s="42">
        <v>45291</v>
      </c>
      <c r="F70" s="42">
        <f t="shared" si="16"/>
        <v>45107</v>
      </c>
      <c r="G70" s="112">
        <f>_xlfn.XLOOKUP(F70,'A-6 CMS Market Basket Index '!$AZ$3:$AZ$8,'A-6 CMS Market Basket Index '!$BF$3:$BF$8)</f>
        <v>1.0538000000000001</v>
      </c>
      <c r="H70" s="43">
        <f t="shared" ref="H70:H78" si="17">IFERROR(M70+Q70,0)</f>
        <v>159801</v>
      </c>
      <c r="I70" s="44">
        <f t="shared" ref="I70:I78" si="18">IFERROR(N70+R70,0)</f>
        <v>740</v>
      </c>
      <c r="J70" s="65">
        <f t="shared" ref="J70:J78" si="19">IFERROR(H70/I70,"")</f>
        <v>215.9472972972973</v>
      </c>
      <c r="K70" s="76">
        <f t="shared" ref="K70:K78" si="20">IF(J70="","",J70*$G70)</f>
        <v>227.56526189189191</v>
      </c>
      <c r="L70" s="51"/>
      <c r="M70" s="44">
        <v>94580</v>
      </c>
      <c r="N70" s="44">
        <v>454</v>
      </c>
      <c r="O70" s="65">
        <v>208.33</v>
      </c>
      <c r="P70" s="51">
        <f t="shared" ref="P70:P78" si="21">IF(O70="","",O70*$G70)</f>
        <v>219.53815400000002</v>
      </c>
      <c r="Q70" s="44">
        <v>65221</v>
      </c>
      <c r="R70" s="44">
        <v>286</v>
      </c>
      <c r="S70" s="65">
        <v>228.05</v>
      </c>
      <c r="T70" s="51">
        <f t="shared" ref="T70:T78" si="22">IF(S70="","",S70*$G70)</f>
        <v>240.31909000000002</v>
      </c>
      <c r="U70" s="46" t="s">
        <v>52</v>
      </c>
      <c r="V70" s="46">
        <v>84790</v>
      </c>
      <c r="W70" s="69" t="s">
        <v>223</v>
      </c>
      <c r="X70" s="70" t="s">
        <v>209</v>
      </c>
      <c r="Z70" s="47"/>
      <c r="AA70" s="267"/>
      <c r="AB70" s="48"/>
      <c r="AC70" s="48"/>
    </row>
    <row r="71" spans="1:29" s="46" customFormat="1" x14ac:dyDescent="0.25">
      <c r="A71" s="50" t="s">
        <v>246</v>
      </c>
      <c r="B71" s="86" t="s">
        <v>31</v>
      </c>
      <c r="C71" s="87">
        <v>467034</v>
      </c>
      <c r="D71" s="88">
        <v>45108</v>
      </c>
      <c r="E71" s="88">
        <v>45473</v>
      </c>
      <c r="F71" s="42">
        <f>((D71+E71)/2)+1</f>
        <v>45291.5</v>
      </c>
      <c r="G71" s="112">
        <f>_xlfn.XLOOKUP(F71,'A-6 CMS Market Basket Index '!$AZ$3:$AZ$8,'A-6 CMS Market Basket Index '!$BF$3:$BF$8)</f>
        <v>1.0366</v>
      </c>
      <c r="H71" s="43">
        <f t="shared" si="17"/>
        <v>317469</v>
      </c>
      <c r="I71" s="44">
        <f t="shared" si="18"/>
        <v>1364</v>
      </c>
      <c r="J71" s="65">
        <f t="shared" si="19"/>
        <v>232.74853372434018</v>
      </c>
      <c r="K71" s="76">
        <f t="shared" si="20"/>
        <v>241.26713005865102</v>
      </c>
      <c r="L71" s="51"/>
      <c r="M71" s="49">
        <v>317469</v>
      </c>
      <c r="N71" s="49">
        <v>1364</v>
      </c>
      <c r="O71" s="80">
        <v>232.75</v>
      </c>
      <c r="P71" s="51">
        <f t="shared" si="21"/>
        <v>241.26864999999998</v>
      </c>
      <c r="Q71" s="49"/>
      <c r="R71" s="49"/>
      <c r="S71" s="80"/>
      <c r="T71" s="51" t="str">
        <f t="shared" si="22"/>
        <v/>
      </c>
      <c r="U71" s="90" t="s">
        <v>30</v>
      </c>
      <c r="V71" s="90">
        <v>84648</v>
      </c>
      <c r="W71" s="91" t="s">
        <v>217</v>
      </c>
      <c r="X71" s="92" t="s">
        <v>209</v>
      </c>
      <c r="Y71" s="52" t="s">
        <v>28</v>
      </c>
      <c r="Z71" s="53" t="s">
        <v>29</v>
      </c>
      <c r="AA71" s="267"/>
      <c r="AB71" s="48"/>
      <c r="AC71" s="48"/>
    </row>
    <row r="72" spans="1:29" s="46" customFormat="1" x14ac:dyDescent="0.25">
      <c r="A72" s="39" t="s">
        <v>245</v>
      </c>
      <c r="B72" s="40" t="s">
        <v>58</v>
      </c>
      <c r="C72" s="41" t="s">
        <v>59</v>
      </c>
      <c r="D72" s="42">
        <v>44927</v>
      </c>
      <c r="E72" s="42">
        <v>45291</v>
      </c>
      <c r="F72" s="42">
        <f>((D72+E72)/2)-2</f>
        <v>45107</v>
      </c>
      <c r="G72" s="112">
        <f>_xlfn.XLOOKUP(F72,'A-6 CMS Market Basket Index '!$AZ$3:$AZ$8,'A-6 CMS Market Basket Index '!$BF$3:$BF$8)</f>
        <v>1.0538000000000001</v>
      </c>
      <c r="H72" s="43">
        <f t="shared" si="17"/>
        <v>899397</v>
      </c>
      <c r="I72" s="44">
        <f t="shared" si="18"/>
        <v>3900</v>
      </c>
      <c r="J72" s="65">
        <f t="shared" si="19"/>
        <v>230.61461538461538</v>
      </c>
      <c r="K72" s="76">
        <f t="shared" si="20"/>
        <v>243.02168169230771</v>
      </c>
      <c r="L72" s="51"/>
      <c r="M72" s="44">
        <v>749768</v>
      </c>
      <c r="N72" s="44">
        <v>2730</v>
      </c>
      <c r="O72" s="65">
        <v>274.64</v>
      </c>
      <c r="P72" s="51">
        <f t="shared" si="21"/>
        <v>289.41563200000002</v>
      </c>
      <c r="Q72" s="44">
        <v>149629</v>
      </c>
      <c r="R72" s="44">
        <v>1170</v>
      </c>
      <c r="S72" s="65">
        <v>127.89</v>
      </c>
      <c r="T72" s="51">
        <f t="shared" si="22"/>
        <v>134.77048200000002</v>
      </c>
      <c r="U72" s="46" t="s">
        <v>42</v>
      </c>
      <c r="V72" s="46">
        <v>84070</v>
      </c>
      <c r="W72" s="69" t="s">
        <v>218</v>
      </c>
      <c r="X72" s="70" t="s">
        <v>209</v>
      </c>
      <c r="Z72" s="47"/>
      <c r="AA72" s="267"/>
      <c r="AB72" s="48"/>
      <c r="AC72" s="48"/>
    </row>
    <row r="73" spans="1:29" s="46" customFormat="1" x14ac:dyDescent="0.25">
      <c r="A73" s="39" t="s">
        <v>245</v>
      </c>
      <c r="B73" s="40" t="s">
        <v>98</v>
      </c>
      <c r="C73" s="41" t="s">
        <v>99</v>
      </c>
      <c r="D73" s="42">
        <v>45017</v>
      </c>
      <c r="E73" s="42">
        <v>45322</v>
      </c>
      <c r="F73" s="42">
        <f>((D73+E73)/2)</f>
        <v>45169.5</v>
      </c>
      <c r="G73" s="112">
        <f>_xlfn.XLOOKUP(F73,'A-6 CMS Market Basket Index '!$AZ$3:$AZ$8,'A-6 CMS Market Basket Index '!$BF$3:$BF$8)</f>
        <v>1.0426</v>
      </c>
      <c r="H73" s="43">
        <f t="shared" si="17"/>
        <v>110973</v>
      </c>
      <c r="I73" s="44">
        <f t="shared" si="18"/>
        <v>441</v>
      </c>
      <c r="J73" s="65">
        <f t="shared" si="19"/>
        <v>251.63945578231292</v>
      </c>
      <c r="K73" s="76">
        <f t="shared" si="20"/>
        <v>262.35929659863945</v>
      </c>
      <c r="L73" s="51"/>
      <c r="M73" s="44">
        <v>44043</v>
      </c>
      <c r="N73" s="44">
        <v>199</v>
      </c>
      <c r="O73" s="65">
        <v>221.32</v>
      </c>
      <c r="P73" s="51">
        <f t="shared" si="21"/>
        <v>230.74823199999997</v>
      </c>
      <c r="Q73" s="44">
        <v>66930</v>
      </c>
      <c r="R73" s="44">
        <v>242</v>
      </c>
      <c r="S73" s="65">
        <v>276.57</v>
      </c>
      <c r="T73" s="51">
        <f t="shared" si="22"/>
        <v>288.35188199999999</v>
      </c>
      <c r="U73" s="46" t="s">
        <v>52</v>
      </c>
      <c r="V73" s="46">
        <v>84790</v>
      </c>
      <c r="W73" s="69" t="s">
        <v>223</v>
      </c>
      <c r="X73" s="70" t="s">
        <v>209</v>
      </c>
      <c r="Z73" s="47"/>
      <c r="AA73" s="267"/>
      <c r="AB73" s="48"/>
      <c r="AC73" s="48"/>
    </row>
    <row r="74" spans="1:29" s="52" customFormat="1" x14ac:dyDescent="0.25">
      <c r="A74" s="39" t="s">
        <v>245</v>
      </c>
      <c r="B74" s="40" t="s">
        <v>201</v>
      </c>
      <c r="C74" s="41" t="s">
        <v>202</v>
      </c>
      <c r="D74" s="42">
        <v>44927</v>
      </c>
      <c r="E74" s="42">
        <v>45291</v>
      </c>
      <c r="F74" s="42">
        <f>((D74+E74)/2)-2</f>
        <v>45107</v>
      </c>
      <c r="G74" s="112">
        <f>_xlfn.XLOOKUP(F74,'A-6 CMS Market Basket Index '!$AZ$3:$AZ$8,'A-6 CMS Market Basket Index '!$BF$3:$BF$8)</f>
        <v>1.0538000000000001</v>
      </c>
      <c r="H74" s="43">
        <f t="shared" si="17"/>
        <v>545693</v>
      </c>
      <c r="I74" s="44">
        <f t="shared" si="18"/>
        <v>1890</v>
      </c>
      <c r="J74" s="65">
        <f t="shared" si="19"/>
        <v>288.72645502645503</v>
      </c>
      <c r="K74" s="76">
        <f t="shared" si="20"/>
        <v>304.25993830687833</v>
      </c>
      <c r="L74" s="51" t="str">
        <f t="shared" ref="L74:L77" si="23">IF(K74&gt;$K$95,"OL","")</f>
        <v/>
      </c>
      <c r="M74" s="44">
        <v>379214</v>
      </c>
      <c r="N74" s="44">
        <v>1066</v>
      </c>
      <c r="O74" s="65">
        <v>355.74</v>
      </c>
      <c r="P74" s="51">
        <f t="shared" si="21"/>
        <v>374.87881200000004</v>
      </c>
      <c r="Q74" s="44">
        <v>166479</v>
      </c>
      <c r="R74" s="44">
        <v>824</v>
      </c>
      <c r="S74" s="65">
        <v>202.04</v>
      </c>
      <c r="T74" s="51">
        <f t="shared" si="22"/>
        <v>212.909752</v>
      </c>
      <c r="U74" s="46" t="s">
        <v>104</v>
      </c>
      <c r="V74" s="46">
        <v>84119</v>
      </c>
      <c r="W74" s="69" t="s">
        <v>218</v>
      </c>
      <c r="X74" s="70" t="s">
        <v>209</v>
      </c>
      <c r="Y74" s="46"/>
      <c r="Z74" s="47"/>
      <c r="AB74" s="54"/>
      <c r="AC74" s="54"/>
    </row>
    <row r="75" spans="1:29" s="52" customFormat="1" x14ac:dyDescent="0.25">
      <c r="A75" s="39" t="s">
        <v>245</v>
      </c>
      <c r="B75" s="40" t="s">
        <v>203</v>
      </c>
      <c r="C75" s="41" t="s">
        <v>204</v>
      </c>
      <c r="D75" s="42">
        <v>44927</v>
      </c>
      <c r="E75" s="42">
        <v>45291</v>
      </c>
      <c r="F75" s="42">
        <f>((D75+E75)/2)-2</f>
        <v>45107</v>
      </c>
      <c r="G75" s="112">
        <f>_xlfn.XLOOKUP(F75,'A-6 CMS Market Basket Index '!$AZ$3:$AZ$8,'A-6 CMS Market Basket Index '!$BF$3:$BF$8)</f>
        <v>1.0538000000000001</v>
      </c>
      <c r="H75" s="43">
        <f t="shared" si="17"/>
        <v>406493</v>
      </c>
      <c r="I75" s="44">
        <f t="shared" si="18"/>
        <v>1390</v>
      </c>
      <c r="J75" s="65">
        <f t="shared" si="19"/>
        <v>292.44100719424461</v>
      </c>
      <c r="K75" s="76">
        <f t="shared" si="20"/>
        <v>308.17433338129496</v>
      </c>
      <c r="L75" s="51" t="str">
        <f t="shared" si="23"/>
        <v/>
      </c>
      <c r="M75" s="44">
        <v>275818</v>
      </c>
      <c r="N75" s="44">
        <v>392</v>
      </c>
      <c r="O75" s="65">
        <v>703.62</v>
      </c>
      <c r="P75" s="51">
        <f t="shared" si="21"/>
        <v>741.47475600000007</v>
      </c>
      <c r="Q75" s="44">
        <v>130675</v>
      </c>
      <c r="R75" s="44">
        <v>998</v>
      </c>
      <c r="S75" s="65">
        <v>130.94</v>
      </c>
      <c r="T75" s="51">
        <f t="shared" si="22"/>
        <v>137.98457200000001</v>
      </c>
      <c r="U75" s="46" t="s">
        <v>17</v>
      </c>
      <c r="V75" s="46">
        <v>84097</v>
      </c>
      <c r="W75" s="69" t="s">
        <v>15</v>
      </c>
      <c r="X75" s="70" t="s">
        <v>213</v>
      </c>
      <c r="Y75" s="46"/>
      <c r="Z75" s="47"/>
      <c r="AB75" s="54"/>
      <c r="AC75" s="54"/>
    </row>
    <row r="76" spans="1:29" s="52" customFormat="1" x14ac:dyDescent="0.25">
      <c r="A76" s="39" t="s">
        <v>245</v>
      </c>
      <c r="B76" s="40" t="s">
        <v>125</v>
      </c>
      <c r="C76" s="41" t="s">
        <v>126</v>
      </c>
      <c r="D76" s="42">
        <v>44927</v>
      </c>
      <c r="E76" s="42">
        <v>45291</v>
      </c>
      <c r="F76" s="42">
        <f>((D76+E76)/2)-2</f>
        <v>45107</v>
      </c>
      <c r="G76" s="112">
        <f>_xlfn.XLOOKUP(F76,'A-6 CMS Market Basket Index '!$AZ$3:$AZ$8,'A-6 CMS Market Basket Index '!$BF$3:$BF$8)</f>
        <v>1.0538000000000001</v>
      </c>
      <c r="H76" s="43">
        <f t="shared" si="17"/>
        <v>1172589</v>
      </c>
      <c r="I76" s="44">
        <f t="shared" si="18"/>
        <v>4000</v>
      </c>
      <c r="J76" s="65">
        <f t="shared" si="19"/>
        <v>293.14724999999999</v>
      </c>
      <c r="K76" s="76">
        <f t="shared" si="20"/>
        <v>308.91857205000002</v>
      </c>
      <c r="L76" s="51" t="str">
        <f t="shared" si="23"/>
        <v/>
      </c>
      <c r="M76" s="44">
        <v>1172589</v>
      </c>
      <c r="N76" s="44">
        <v>4000</v>
      </c>
      <c r="O76" s="65">
        <v>293.14999999999998</v>
      </c>
      <c r="P76" s="51">
        <f t="shared" si="21"/>
        <v>308.92147</v>
      </c>
      <c r="Q76" s="44"/>
      <c r="R76" s="44"/>
      <c r="S76" s="65"/>
      <c r="T76" s="51" t="str">
        <f t="shared" si="22"/>
        <v/>
      </c>
      <c r="U76" s="46" t="s">
        <v>48</v>
      </c>
      <c r="V76" s="46">
        <v>84123</v>
      </c>
      <c r="W76" s="69" t="s">
        <v>218</v>
      </c>
      <c r="X76" s="70" t="s">
        <v>209</v>
      </c>
      <c r="Y76" s="46"/>
      <c r="Z76" s="47"/>
      <c r="AB76" s="54"/>
      <c r="AC76" s="54"/>
    </row>
    <row r="77" spans="1:29" s="52" customFormat="1" x14ac:dyDescent="0.25">
      <c r="A77" s="39" t="s">
        <v>245</v>
      </c>
      <c r="B77" s="40" t="s">
        <v>152</v>
      </c>
      <c r="C77" s="41" t="s">
        <v>153</v>
      </c>
      <c r="D77" s="42">
        <v>44927</v>
      </c>
      <c r="E77" s="42">
        <v>45291</v>
      </c>
      <c r="F77" s="42">
        <f>((D77+E77)/2)-2</f>
        <v>45107</v>
      </c>
      <c r="G77" s="112">
        <f>_xlfn.XLOOKUP(F77,'A-6 CMS Market Basket Index '!$AZ$3:$AZ$8,'A-6 CMS Market Basket Index '!$BF$3:$BF$8)</f>
        <v>1.0538000000000001</v>
      </c>
      <c r="H77" s="43">
        <f t="shared" si="17"/>
        <v>164771</v>
      </c>
      <c r="I77" s="44">
        <f t="shared" si="18"/>
        <v>540</v>
      </c>
      <c r="J77" s="65">
        <f t="shared" si="19"/>
        <v>305.1314814814815</v>
      </c>
      <c r="K77" s="76">
        <f t="shared" si="20"/>
        <v>321.54755518518522</v>
      </c>
      <c r="L77" s="51" t="str">
        <f t="shared" si="23"/>
        <v/>
      </c>
      <c r="M77" s="44">
        <v>146924</v>
      </c>
      <c r="N77" s="44">
        <v>307</v>
      </c>
      <c r="O77" s="65">
        <v>478.58</v>
      </c>
      <c r="P77" s="51">
        <f t="shared" si="21"/>
        <v>504.32760400000001</v>
      </c>
      <c r="Q77" s="44">
        <v>17847</v>
      </c>
      <c r="R77" s="44">
        <v>233</v>
      </c>
      <c r="S77" s="65">
        <v>76.599999999999994</v>
      </c>
      <c r="T77" s="51">
        <f t="shared" si="22"/>
        <v>80.721080000000001</v>
      </c>
      <c r="U77" s="46" t="s">
        <v>62</v>
      </c>
      <c r="V77" s="46">
        <v>84790</v>
      </c>
      <c r="W77" s="69" t="s">
        <v>223</v>
      </c>
      <c r="X77" s="70" t="s">
        <v>209</v>
      </c>
      <c r="Y77" s="46"/>
      <c r="Z77" s="47"/>
      <c r="AB77" s="54"/>
      <c r="AC77" s="54"/>
    </row>
    <row r="78" spans="1:29" s="52" customFormat="1" x14ac:dyDescent="0.25">
      <c r="A78" s="39" t="s">
        <v>245</v>
      </c>
      <c r="B78" s="40" t="s">
        <v>205</v>
      </c>
      <c r="C78" s="41" t="s">
        <v>206</v>
      </c>
      <c r="D78" s="42">
        <v>44927</v>
      </c>
      <c r="E78" s="42">
        <v>45291</v>
      </c>
      <c r="F78" s="42">
        <f>((D78+E78)/2)-2</f>
        <v>45107</v>
      </c>
      <c r="G78" s="112">
        <f>_xlfn.XLOOKUP(F78,'A-6 CMS Market Basket Index '!$AZ$3:$AZ$8,'A-6 CMS Market Basket Index '!$BF$3:$BF$8)</f>
        <v>1.0538000000000001</v>
      </c>
      <c r="H78" s="43">
        <f t="shared" si="17"/>
        <v>2920776</v>
      </c>
      <c r="I78" s="44">
        <f t="shared" si="18"/>
        <v>4900</v>
      </c>
      <c r="J78" s="65">
        <f t="shared" si="19"/>
        <v>596.0767346938776</v>
      </c>
      <c r="K78" s="76">
        <f t="shared" si="20"/>
        <v>628.14566302040828</v>
      </c>
      <c r="L78" s="51" t="str">
        <f>IF(K78&gt;$K$95,"OL","")</f>
        <v>OL</v>
      </c>
      <c r="M78" s="44">
        <v>2281275</v>
      </c>
      <c r="N78" s="44">
        <v>3308</v>
      </c>
      <c r="O78" s="65">
        <v>689.62</v>
      </c>
      <c r="P78" s="51">
        <f t="shared" si="21"/>
        <v>726.72155600000008</v>
      </c>
      <c r="Q78" s="44">
        <v>639501</v>
      </c>
      <c r="R78" s="44">
        <v>1592</v>
      </c>
      <c r="S78" s="65">
        <v>401.7</v>
      </c>
      <c r="T78" s="51">
        <f t="shared" si="22"/>
        <v>423.31146000000001</v>
      </c>
      <c r="U78" s="46" t="s">
        <v>18</v>
      </c>
      <c r="V78" s="46">
        <v>84107</v>
      </c>
      <c r="W78" s="69" t="s">
        <v>218</v>
      </c>
      <c r="X78" s="70" t="s">
        <v>209</v>
      </c>
      <c r="Y78" s="46"/>
      <c r="Z78" s="47"/>
      <c r="AB78" s="54"/>
      <c r="AC78" s="54"/>
    </row>
    <row r="79" spans="1:29" s="133" customFormat="1" ht="15.75" thickBot="1" x14ac:dyDescent="0.3">
      <c r="A79" s="124" t="s">
        <v>386</v>
      </c>
      <c r="B79" s="125"/>
      <c r="C79" s="126"/>
      <c r="D79" s="127"/>
      <c r="E79" s="127"/>
      <c r="F79" s="127"/>
      <c r="G79" s="128">
        <f>AVERAGE(G6:G78)</f>
        <v>1.0526287671232879</v>
      </c>
      <c r="H79" s="129">
        <f>SUM(H6:H78)</f>
        <v>75940783</v>
      </c>
      <c r="I79" s="130">
        <f>SUM(I6:I78)</f>
        <v>527759</v>
      </c>
      <c r="J79" s="131">
        <f>H79/I79</f>
        <v>143.89291892701024</v>
      </c>
      <c r="K79" s="131">
        <f>J79*$G79</f>
        <v>151.46582584791</v>
      </c>
      <c r="L79" s="132"/>
      <c r="M79" s="130">
        <f>SUM(M6:M78)</f>
        <v>65103532</v>
      </c>
      <c r="N79" s="130">
        <f>SUM(N6:N78)</f>
        <v>420421</v>
      </c>
      <c r="O79" s="131">
        <f>M79/N79</f>
        <v>154.85318763810562</v>
      </c>
      <c r="P79" s="132">
        <f t="shared" ref="P79" si="24">O79*$G79</f>
        <v>163.0029199886103</v>
      </c>
      <c r="Q79" s="129">
        <f>SUM(Q6:Q78)</f>
        <v>10837251</v>
      </c>
      <c r="R79" s="130">
        <f>SUM(R6:R78)</f>
        <v>107338</v>
      </c>
      <c r="S79" s="131">
        <f>Q79/R79</f>
        <v>100.96378728875142</v>
      </c>
      <c r="T79" s="132">
        <f t="shared" ref="T79" si="25">S79*$G79</f>
        <v>106.27738693785629</v>
      </c>
      <c r="W79" s="134"/>
      <c r="X79" s="135"/>
    </row>
    <row r="80" spans="1:29" s="46" customFormat="1" ht="15.75" thickTop="1" x14ac:dyDescent="0.25">
      <c r="A80" s="39"/>
      <c r="B80" s="40"/>
      <c r="C80" s="41"/>
      <c r="D80" s="42"/>
      <c r="E80" s="42"/>
      <c r="F80" s="42"/>
      <c r="G80" s="42"/>
      <c r="H80" s="44"/>
      <c r="I80" s="44"/>
      <c r="J80" s="65"/>
      <c r="K80" s="79"/>
      <c r="L80" s="71"/>
      <c r="M80" s="44"/>
      <c r="N80" s="44"/>
      <c r="O80" s="65"/>
      <c r="P80" s="45"/>
      <c r="Q80" s="44"/>
      <c r="R80" s="44"/>
      <c r="S80" s="65"/>
      <c r="T80" s="45"/>
      <c r="W80" s="69"/>
      <c r="X80" s="70"/>
    </row>
    <row r="81" spans="1:24" s="46" customFormat="1" x14ac:dyDescent="0.25">
      <c r="A81" s="39"/>
      <c r="B81" s="40"/>
      <c r="C81" s="41"/>
      <c r="D81" s="42"/>
      <c r="E81" s="55" t="s">
        <v>247</v>
      </c>
      <c r="F81" s="42"/>
      <c r="G81" s="42"/>
      <c r="H81" s="268"/>
      <c r="I81" s="57"/>
      <c r="J81" s="57" t="s">
        <v>390</v>
      </c>
      <c r="K81" s="57"/>
      <c r="L81" s="58"/>
      <c r="M81" s="123"/>
      <c r="N81" s="57"/>
      <c r="O81" s="57" t="s">
        <v>390</v>
      </c>
      <c r="P81" s="58"/>
      <c r="Q81" s="122"/>
      <c r="R81" s="57"/>
      <c r="S81" s="57" t="s">
        <v>390</v>
      </c>
      <c r="T81" s="58"/>
      <c r="W81" s="69"/>
      <c r="X81" s="70"/>
    </row>
    <row r="82" spans="1:24" s="46" customFormat="1" ht="17.25" x14ac:dyDescent="0.4">
      <c r="A82" s="39"/>
      <c r="B82" s="40"/>
      <c r="C82" s="59"/>
      <c r="D82" s="42"/>
      <c r="E82" s="42"/>
      <c r="F82" s="42"/>
      <c r="G82" s="42"/>
      <c r="H82" s="122"/>
      <c r="I82" s="61"/>
      <c r="J82" s="61" t="s">
        <v>383</v>
      </c>
      <c r="K82" s="61" t="s">
        <v>389</v>
      </c>
      <c r="L82" s="62"/>
      <c r="M82" s="123"/>
      <c r="N82" s="61"/>
      <c r="O82" s="61" t="s">
        <v>383</v>
      </c>
      <c r="P82" s="62" t="s">
        <v>389</v>
      </c>
      <c r="Q82" s="122"/>
      <c r="R82" s="61"/>
      <c r="S82" s="61" t="s">
        <v>383</v>
      </c>
      <c r="T82" s="62" t="s">
        <v>389</v>
      </c>
      <c r="W82" s="69"/>
      <c r="X82" s="70"/>
    </row>
    <row r="83" spans="1:24" s="46" customFormat="1" x14ac:dyDescent="0.25">
      <c r="A83" s="39"/>
      <c r="B83" s="40"/>
      <c r="C83" s="59"/>
      <c r="D83" s="42"/>
      <c r="F83" s="42"/>
      <c r="G83" s="42" t="s">
        <v>248</v>
      </c>
      <c r="H83" s="122"/>
      <c r="I83" s="72"/>
      <c r="J83" s="72">
        <f>MIN(K$6:K$77)</f>
        <v>23.982852118100126</v>
      </c>
      <c r="K83" s="72">
        <f>MIN(K$6:K$78)</f>
        <v>23.982852118100126</v>
      </c>
      <c r="L83" s="64"/>
      <c r="M83" s="123"/>
      <c r="N83" s="72"/>
      <c r="O83" s="41" t="s">
        <v>391</v>
      </c>
      <c r="P83" s="64">
        <f>MIN(P$6:P$78)</f>
        <v>23.924727999999998</v>
      </c>
      <c r="Q83" s="122"/>
      <c r="R83" s="72"/>
      <c r="S83" s="41" t="s">
        <v>391</v>
      </c>
      <c r="T83" s="64">
        <f>MIN(T$6:T$78)</f>
        <v>10.116480000000001</v>
      </c>
      <c r="W83" s="69"/>
      <c r="X83" s="70"/>
    </row>
    <row r="84" spans="1:24" s="46" customFormat="1" x14ac:dyDescent="0.25">
      <c r="A84" s="39"/>
      <c r="B84" s="40"/>
      <c r="C84" s="59"/>
      <c r="D84" s="42"/>
      <c r="F84" s="42"/>
      <c r="G84" s="42" t="s">
        <v>249</v>
      </c>
      <c r="H84" s="122"/>
      <c r="I84" s="72"/>
      <c r="J84" s="72">
        <f>MAX(K$6:K$77)</f>
        <v>321.54755518518522</v>
      </c>
      <c r="K84" s="72">
        <f>MAX(K$6:K$78)</f>
        <v>628.14566302040828</v>
      </c>
      <c r="L84" s="64"/>
      <c r="M84" s="123"/>
      <c r="N84" s="72"/>
      <c r="O84" s="41" t="s">
        <v>391</v>
      </c>
      <c r="P84" s="64">
        <f>MAX(P$6:P$78)</f>
        <v>741.47475600000007</v>
      </c>
      <c r="Q84" s="122"/>
      <c r="R84" s="72"/>
      <c r="S84" s="41" t="s">
        <v>391</v>
      </c>
      <c r="T84" s="64">
        <f>MAX(T$6:T$78)</f>
        <v>749.88408000000004</v>
      </c>
      <c r="W84" s="69"/>
      <c r="X84" s="70"/>
    </row>
    <row r="85" spans="1:24" s="46" customFormat="1" x14ac:dyDescent="0.25">
      <c r="A85" s="39"/>
      <c r="B85" s="40"/>
      <c r="C85" s="59"/>
      <c r="D85" s="42"/>
      <c r="F85" s="42"/>
      <c r="G85" s="42" t="s">
        <v>250</v>
      </c>
      <c r="H85" s="122"/>
      <c r="I85" s="72"/>
      <c r="J85" s="72" cm="1">
        <f t="array" ref="J85">ROUND(MEDIAN(IF(K$6:K$77&gt;0,K$6:K$77)),2)</f>
        <v>160.12</v>
      </c>
      <c r="K85" s="72" cm="1">
        <f t="array" ref="K85">ROUND(MEDIAN(IF(K$6:K$78&gt;0,K$6:K$78)),2)</f>
        <v>160.97</v>
      </c>
      <c r="L85" s="64"/>
      <c r="M85" s="123"/>
      <c r="N85" s="72"/>
      <c r="O85" s="41" t="s">
        <v>391</v>
      </c>
      <c r="P85" s="64" cm="1">
        <f t="array" ref="P85">ROUND(MEDIAN(IF(P$6:P$78&gt;0,P$6:P$78)),2)</f>
        <v>164</v>
      </c>
      <c r="Q85" s="122"/>
      <c r="R85" s="72"/>
      <c r="S85" s="41" t="s">
        <v>391</v>
      </c>
      <c r="T85" s="64" cm="1">
        <f t="array" ref="T85">ROUND(MEDIAN(IF(T$6:T$78&gt;0,T$6:T$78)),2)</f>
        <v>111.44</v>
      </c>
      <c r="W85" s="69"/>
      <c r="X85" s="70"/>
    </row>
    <row r="86" spans="1:24" s="46" customFormat="1" x14ac:dyDescent="0.25">
      <c r="A86" s="39"/>
      <c r="B86" s="40"/>
      <c r="C86" s="59"/>
      <c r="D86" s="42"/>
      <c r="F86" s="42"/>
      <c r="G86" s="42" t="s">
        <v>251</v>
      </c>
      <c r="H86" s="122"/>
      <c r="I86" s="72"/>
      <c r="J86" s="72">
        <f>AVERAGE(K$6:K$77)</f>
        <v>163.95529076830201</v>
      </c>
      <c r="K86" s="72">
        <f>AVERAGE(K$6:K$78)</f>
        <v>170.31406299093359</v>
      </c>
      <c r="L86" s="64"/>
      <c r="M86" s="123"/>
      <c r="N86" s="72"/>
      <c r="O86" s="41" t="s">
        <v>391</v>
      </c>
      <c r="P86" s="64">
        <f>AVERAGE(P$6:P$78)</f>
        <v>190.50516008219174</v>
      </c>
      <c r="Q86" s="122"/>
      <c r="R86" s="72"/>
      <c r="S86" s="41" t="s">
        <v>391</v>
      </c>
      <c r="T86" s="64">
        <f>AVERAGE(T$6:T$78)</f>
        <v>135.29963695999999</v>
      </c>
      <c r="W86" s="69"/>
      <c r="X86" s="70"/>
    </row>
    <row r="87" spans="1:24" s="90" customFormat="1" x14ac:dyDescent="0.25">
      <c r="A87" s="167"/>
      <c r="B87" s="168" t="s">
        <v>458</v>
      </c>
      <c r="C87" s="169"/>
      <c r="D87" s="170"/>
      <c r="E87" s="171"/>
      <c r="F87" s="170"/>
      <c r="G87" s="170" t="s">
        <v>252</v>
      </c>
      <c r="H87" s="174"/>
      <c r="I87" s="172"/>
      <c r="J87" s="173">
        <f>SUMPRODUCT(K6:K77,I6:I77)/SUM(I6:I77)</f>
        <v>147.14947028491432</v>
      </c>
      <c r="K87" s="176">
        <f>K79</f>
        <v>151.46582584791</v>
      </c>
      <c r="L87" s="177"/>
      <c r="M87" s="179"/>
      <c r="N87" s="80"/>
      <c r="O87" s="87" t="s">
        <v>391</v>
      </c>
      <c r="P87" s="177">
        <f>P79</f>
        <v>163.0029199886103</v>
      </c>
      <c r="Q87" s="178"/>
      <c r="R87" s="80"/>
      <c r="S87" s="87" t="s">
        <v>391</v>
      </c>
      <c r="T87" s="177">
        <f>T79</f>
        <v>106.27738693785629</v>
      </c>
      <c r="W87" s="91"/>
      <c r="X87" s="92"/>
    </row>
    <row r="88" spans="1:24" s="46" customFormat="1" x14ac:dyDescent="0.25">
      <c r="A88" s="39"/>
      <c r="B88" s="40"/>
      <c r="C88" s="59"/>
      <c r="F88" s="66">
        <v>0.5</v>
      </c>
      <c r="G88" s="42" t="s">
        <v>253</v>
      </c>
      <c r="H88" s="122"/>
      <c r="I88" s="72"/>
      <c r="J88" s="72">
        <f>ROUND(_xlfn.PERCENTILE.INC(K$6:K$77,$F$88),2)</f>
        <v>160.12</v>
      </c>
      <c r="K88" s="72">
        <f>ROUND(_xlfn.PERCENTILE.INC(K$6:K$78,$F$88),2)</f>
        <v>160.97</v>
      </c>
      <c r="L88" s="64"/>
      <c r="M88" s="123"/>
      <c r="N88" s="72"/>
      <c r="O88" s="41" t="s">
        <v>391</v>
      </c>
      <c r="P88" s="64">
        <f>ROUND(_xlfn.PERCENTILE.INC(P$6:P$78,$F$88),2)</f>
        <v>164</v>
      </c>
      <c r="Q88" s="122"/>
      <c r="R88" s="72"/>
      <c r="S88" s="41" t="s">
        <v>391</v>
      </c>
      <c r="T88" s="64">
        <f>ROUND(_xlfn.PERCENTILE.INC(T$6:T$78,$F$88),2)</f>
        <v>111.44</v>
      </c>
      <c r="W88" s="69"/>
      <c r="X88" s="70"/>
    </row>
    <row r="89" spans="1:24" s="46" customFormat="1" x14ac:dyDescent="0.25">
      <c r="A89" s="39"/>
      <c r="B89" s="40"/>
      <c r="C89" s="41"/>
      <c r="D89" s="42"/>
      <c r="F89" s="42"/>
      <c r="G89" s="42" t="s">
        <v>387</v>
      </c>
      <c r="H89" s="43"/>
      <c r="I89" s="44"/>
      <c r="J89" s="65">
        <f>_xlfn.STDEV.P(K6:K77)</f>
        <v>58.854459238220066</v>
      </c>
      <c r="K89" s="65">
        <f>_xlfn.STDEV.P(K6:K78)</f>
        <v>79.5464912433644</v>
      </c>
      <c r="L89" s="45"/>
      <c r="M89" s="44"/>
      <c r="N89" s="44"/>
      <c r="O89" s="41" t="s">
        <v>391</v>
      </c>
      <c r="P89" s="45">
        <f>_xlfn.STDEV.P(P6:P78)</f>
        <v>119.47244855670598</v>
      </c>
      <c r="Q89" s="43"/>
      <c r="R89" s="44"/>
      <c r="S89" s="41" t="s">
        <v>391</v>
      </c>
      <c r="T89" s="45">
        <f>_xlfn.STDEV.P(T6:T78)</f>
        <v>113.58500200867067</v>
      </c>
      <c r="W89" s="69"/>
      <c r="X89" s="70"/>
    </row>
    <row r="90" spans="1:24" x14ac:dyDescent="0.25">
      <c r="G90" s="46" t="s">
        <v>444</v>
      </c>
      <c r="H90" s="67"/>
      <c r="K90" s="65">
        <f>_xlfn.QUARTILE.INC(K6:K78,1)</f>
        <v>117.65427118816932</v>
      </c>
      <c r="L90" s="68"/>
      <c r="M90" s="77"/>
      <c r="Q90" s="67"/>
    </row>
    <row r="91" spans="1:24" x14ac:dyDescent="0.25">
      <c r="G91" s="46" t="s">
        <v>445</v>
      </c>
      <c r="K91" s="65">
        <f>_xlfn.QUARTILE.INC(K6:K78,2)</f>
        <v>160.97258529766211</v>
      </c>
    </row>
    <row r="92" spans="1:24" x14ac:dyDescent="0.25">
      <c r="G92" s="46" t="s">
        <v>446</v>
      </c>
      <c r="K92" s="65">
        <f>_xlfn.QUARTILE.INC(K6:K78,3)</f>
        <v>200.05776026111792</v>
      </c>
    </row>
    <row r="93" spans="1:24" x14ac:dyDescent="0.25">
      <c r="G93" s="46" t="s">
        <v>447</v>
      </c>
      <c r="K93" s="65">
        <f>_xlfn.QUARTILE.INC(K6:K78,4)</f>
        <v>628.14566302040828</v>
      </c>
    </row>
    <row r="94" spans="1:24" x14ac:dyDescent="0.25">
      <c r="G94" s="46" t="s">
        <v>448</v>
      </c>
      <c r="K94" s="65">
        <f>K92-K90</f>
        <v>82.403489072948602</v>
      </c>
    </row>
    <row r="95" spans="1:24" x14ac:dyDescent="0.25">
      <c r="G95" s="46" t="s">
        <v>451</v>
      </c>
      <c r="K95" s="65">
        <f>K92+K94*1.5</f>
        <v>323.66299387054084</v>
      </c>
    </row>
    <row r="96" spans="1:24" x14ac:dyDescent="0.25">
      <c r="G96" s="46" t="s">
        <v>452</v>
      </c>
      <c r="J96" s="162" t="str">
        <f>IF(K96&lt;0,"Negative, no low outlier","")</f>
        <v>Negative, no low outlier</v>
      </c>
      <c r="K96" s="65">
        <f>K90-1.5*K94</f>
        <v>-5.9509624212535783</v>
      </c>
    </row>
  </sheetData>
  <autoFilter ref="B4:W89" xr:uid="{00000000-0009-0000-0000-000009000000}"/>
  <sortState xmlns:xlrd2="http://schemas.microsoft.com/office/spreadsheetml/2017/richdata2" ref="A6:Z78">
    <sortCondition ref="K6:K78"/>
  </sortState>
  <mergeCells count="1">
    <mergeCell ref="L2:L4"/>
  </mergeCells>
  <pageMargins left="0.7" right="0.7" top="0.75" bottom="0.75" header="0.3" footer="0.3"/>
  <pageSetup paperSize="3" scale="38" fitToHeight="0" orientation="landscape" verticalDpi="0" r:id="rId1"/>
  <rowBreaks count="1" manualBreakCount="1">
    <brk id="88" max="16383" man="1"/>
  </rowBreaks>
  <customProperties>
    <customPr name="OrphanNamesChecke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36082DD-E7FB-47DF-AB88-0CA7F9ED03B1}"/>
</file>

<file path=customXml/itemProps2.xml><?xml version="1.0" encoding="utf-8"?>
<ds:datastoreItem xmlns:ds="http://schemas.openxmlformats.org/officeDocument/2006/customXml" ds:itemID="{137C0605-B77A-4EE0-947E-B01520E2E99E}"/>
</file>

<file path=customXml/itemProps3.xml><?xml version="1.0" encoding="utf-8"?>
<ds:datastoreItem xmlns:ds="http://schemas.openxmlformats.org/officeDocument/2006/customXml" ds:itemID="{B09A1053-05BD-4CC8-8C26-95AA7281887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16</vt:i4>
      </vt:variant>
    </vt:vector>
  </HeadingPairs>
  <TitlesOfParts>
    <vt:vector size="29" baseType="lpstr">
      <vt:lpstr>Cover</vt:lpstr>
      <vt:lpstr>A-1 HHA Summary</vt:lpstr>
      <vt:lpstr>A-2 Provider Counts</vt:lpstr>
      <vt:lpstr>A-3 Cost Coverage</vt:lpstr>
      <vt:lpstr>A-4 MCR Rates</vt:lpstr>
      <vt:lpstr>A-5 Border States</vt:lpstr>
      <vt:lpstr>A-6 CMS Market Basket Index </vt:lpstr>
      <vt:lpstr>A-7 SNF RN LPN</vt:lpstr>
      <vt:lpstr>A-8 PT</vt:lpstr>
      <vt:lpstr>A-9 OT</vt:lpstr>
      <vt:lpstr>A-10 SLP</vt:lpstr>
      <vt:lpstr>A-11 MS</vt:lpstr>
      <vt:lpstr>A-12 HHA</vt:lpstr>
      <vt:lpstr>'A-1 HHA Summary'!Print_Area</vt:lpstr>
      <vt:lpstr>'A-10 SLP'!Print_Area</vt:lpstr>
      <vt:lpstr>'A-11 MS'!Print_Area</vt:lpstr>
      <vt:lpstr>'A-12 HHA'!Print_Area</vt:lpstr>
      <vt:lpstr>'A-4 MCR Rates'!Print_Area</vt:lpstr>
      <vt:lpstr>'A-5 Border States'!Print_Area</vt:lpstr>
      <vt:lpstr>'A-7 SNF RN LPN'!Print_Area</vt:lpstr>
      <vt:lpstr>'A-8 PT'!Print_Area</vt:lpstr>
      <vt:lpstr>'A-9 OT'!Print_Area</vt:lpstr>
      <vt:lpstr>Cover!Print_Area</vt:lpstr>
      <vt:lpstr>'A-10 SLP'!Print_Titles</vt:lpstr>
      <vt:lpstr>'A-11 MS'!Print_Titles</vt:lpstr>
      <vt:lpstr>'A-12 HHA'!Print_Titles</vt:lpstr>
      <vt:lpstr>'A-7 SNF RN LPN'!Print_Titles</vt:lpstr>
      <vt:lpstr>'A-8 PT'!Print_Titles</vt:lpstr>
      <vt:lpstr>'A-9 OT'!Print_Titles</vt:lpstr>
    </vt:vector>
  </TitlesOfParts>
  <Company>Myers and Stauffer, LC.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Tammy Martin</dc:creator>
  <cp:lastModifiedBy>Tammy Martin</cp:lastModifiedBy>
  <dcterms:created xsi:type="dcterms:W3CDTF">2025-04-11T21:07:31Z</dcterms:created>
  <dcterms:modified xsi:type="dcterms:W3CDTF">2025-08-20T23:25:20Z</dcterms:modified>
</cp:coreProperties>
</file>